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disgovau-my.sharepoint.com/personal/lachlan_cottom2_ndis_gov_au/Documents/Documents/Lachlan/SDA Price Review/Consultation Paper/"/>
    </mc:Choice>
  </mc:AlternateContent>
  <xr:revisionPtr revIDLastSave="9" documentId="11_8FFF00503996AA578BCD58F3D93E2893A39812E4" xr6:coauthVersionLast="47" xr6:coauthVersionMax="47" xr10:uidLastSave="{599890ED-75F0-4153-8D3A-8F097D74C153}"/>
  <bookViews>
    <workbookView xWindow="-120" yWindow="-120" windowWidth="29040" windowHeight="15840" tabRatio="806" activeTab="1" xr2:uid="{00000000-000D-0000-FFFF-FFFF00000000}"/>
  </bookViews>
  <sheets>
    <sheet name="WACC" sheetId="6" r:id="rId1"/>
    <sheet name="CASHFLOW" sheetId="20" r:id="rId2"/>
  </sheets>
  <definedNames>
    <definedName name="NATDiscRate">WACC!$C$28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0" l="1"/>
  <c r="K32" i="20" l="1"/>
  <c r="L32" i="20" s="1"/>
  <c r="M32" i="20" s="1"/>
  <c r="N32" i="20" s="1"/>
  <c r="O32" i="20" s="1"/>
  <c r="P32" i="20" s="1"/>
  <c r="Q32" i="20" s="1"/>
  <c r="R32" i="20" s="1"/>
  <c r="S32" i="20" s="1"/>
  <c r="T32" i="20" s="1"/>
  <c r="U32" i="20" s="1"/>
  <c r="V32" i="20" s="1"/>
  <c r="W32" i="20" s="1"/>
  <c r="X32" i="20" s="1"/>
  <c r="Y32" i="20" s="1"/>
  <c r="Z32" i="20" s="1"/>
  <c r="AA32" i="20" s="1"/>
  <c r="AB32" i="20" s="1"/>
  <c r="AC32" i="20" s="1"/>
  <c r="I30" i="20"/>
  <c r="I33" i="20" s="1"/>
  <c r="J33" i="20" s="1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1" i="20"/>
  <c r="I23" i="20" s="1"/>
  <c r="I37" i="20" s="1"/>
  <c r="K16" i="20"/>
  <c r="L16" i="20" s="1"/>
  <c r="M16" i="20" s="1"/>
  <c r="N16" i="20" s="1"/>
  <c r="O16" i="20" s="1"/>
  <c r="P16" i="20" s="1"/>
  <c r="Q16" i="20" s="1"/>
  <c r="R16" i="20" s="1"/>
  <c r="S16" i="20" s="1"/>
  <c r="T16" i="20" s="1"/>
  <c r="U16" i="20" s="1"/>
  <c r="V16" i="20" s="1"/>
  <c r="W16" i="20" s="1"/>
  <c r="X16" i="20" s="1"/>
  <c r="Y16" i="20" s="1"/>
  <c r="Z16" i="20" s="1"/>
  <c r="AA16" i="20" s="1"/>
  <c r="AB16" i="20" s="1"/>
  <c r="AC16" i="20" s="1"/>
  <c r="I17" i="20"/>
  <c r="J17" i="20" s="1"/>
  <c r="I52" i="20"/>
  <c r="I64" i="20"/>
  <c r="J67" i="20" s="1"/>
  <c r="Y72" i="20" l="1"/>
  <c r="Q72" i="20"/>
  <c r="W72" i="20"/>
  <c r="O72" i="20"/>
  <c r="P72" i="20"/>
  <c r="J72" i="20"/>
  <c r="V72" i="20"/>
  <c r="N72" i="20"/>
  <c r="X72" i="20"/>
  <c r="AC72" i="20"/>
  <c r="U72" i="20"/>
  <c r="M72" i="20"/>
  <c r="AB72" i="20"/>
  <c r="T72" i="20"/>
  <c r="L72" i="20"/>
  <c r="AA72" i="20"/>
  <c r="S72" i="20"/>
  <c r="K72" i="20"/>
  <c r="Z72" i="20"/>
  <c r="R72" i="20"/>
  <c r="K33" i="20"/>
  <c r="L33" i="20" s="1"/>
  <c r="M33" i="20" s="1"/>
  <c r="N33" i="20" s="1"/>
  <c r="O33" i="20" s="1"/>
  <c r="P33" i="20" s="1"/>
  <c r="Q33" i="20" s="1"/>
  <c r="R33" i="20" s="1"/>
  <c r="S33" i="20" s="1"/>
  <c r="T33" i="20" s="1"/>
  <c r="U33" i="20" s="1"/>
  <c r="V33" i="20" s="1"/>
  <c r="W33" i="20" s="1"/>
  <c r="X33" i="20" s="1"/>
  <c r="Y33" i="20" s="1"/>
  <c r="Z33" i="20" s="1"/>
  <c r="AA33" i="20" s="1"/>
  <c r="AB33" i="20" s="1"/>
  <c r="AC33" i="20" s="1"/>
  <c r="AC44" i="20" s="1"/>
  <c r="I24" i="20"/>
  <c r="J23" i="20"/>
  <c r="I36" i="20"/>
  <c r="I38" i="20" s="1"/>
  <c r="I77" i="20" s="1"/>
  <c r="K17" i="20"/>
  <c r="L17" i="20" s="1"/>
  <c r="M17" i="20" s="1"/>
  <c r="K67" i="20"/>
  <c r="N17" i="20" l="1"/>
  <c r="O17" i="20" s="1"/>
  <c r="P17" i="20" s="1"/>
  <c r="Q17" i="20" s="1"/>
  <c r="R17" i="20" s="1"/>
  <c r="S17" i="20" s="1"/>
  <c r="T17" i="20" s="1"/>
  <c r="U17" i="20" s="1"/>
  <c r="V17" i="20" s="1"/>
  <c r="W17" i="20" s="1"/>
  <c r="X17" i="20" s="1"/>
  <c r="Y17" i="20" s="1"/>
  <c r="Z17" i="20" s="1"/>
  <c r="AA17" i="20" s="1"/>
  <c r="AB17" i="20" s="1"/>
  <c r="AC17" i="20" s="1"/>
  <c r="AC43" i="20" s="1"/>
  <c r="J24" i="20"/>
  <c r="K23" i="20"/>
  <c r="I53" i="20"/>
  <c r="I54" i="20" s="1"/>
  <c r="J56" i="20" s="1"/>
  <c r="L67" i="20"/>
  <c r="G39" i="20"/>
  <c r="L23" i="20" l="1"/>
  <c r="K24" i="20"/>
  <c r="J73" i="20"/>
  <c r="J74" i="20" s="1"/>
  <c r="J77" i="20" s="1"/>
  <c r="M67" i="20"/>
  <c r="K56" i="20"/>
  <c r="M23" i="20" l="1"/>
  <c r="L24" i="20"/>
  <c r="K73" i="20"/>
  <c r="K74" i="20" s="1"/>
  <c r="N67" i="20"/>
  <c r="L56" i="20"/>
  <c r="N23" i="20" l="1"/>
  <c r="M24" i="20"/>
  <c r="L73" i="20"/>
  <c r="L74" i="20" s="1"/>
  <c r="L77" i="20" s="1"/>
  <c r="K77" i="20"/>
  <c r="M56" i="20"/>
  <c r="O67" i="20"/>
  <c r="O23" i="20" l="1"/>
  <c r="N24" i="20"/>
  <c r="M73" i="20"/>
  <c r="M74" i="20" s="1"/>
  <c r="P67" i="20"/>
  <c r="N56" i="20"/>
  <c r="P23" i="20" l="1"/>
  <c r="O24" i="20"/>
  <c r="N73" i="20"/>
  <c r="N74" i="20" s="1"/>
  <c r="N77" i="20" s="1"/>
  <c r="M77" i="20"/>
  <c r="O56" i="20"/>
  <c r="Q67" i="20"/>
  <c r="Q23" i="20" l="1"/>
  <c r="P24" i="20"/>
  <c r="O73" i="20"/>
  <c r="O74" i="20" s="1"/>
  <c r="O77" i="20" s="1"/>
  <c r="R67" i="20"/>
  <c r="P56" i="20"/>
  <c r="R23" i="20" l="1"/>
  <c r="Q24" i="20"/>
  <c r="P73" i="20"/>
  <c r="P74" i="20" s="1"/>
  <c r="P77" i="20" s="1"/>
  <c r="Q56" i="20"/>
  <c r="S67" i="20"/>
  <c r="S23" i="20" l="1"/>
  <c r="R24" i="20"/>
  <c r="Q73" i="20"/>
  <c r="Q74" i="20" s="1"/>
  <c r="Q77" i="20" s="1"/>
  <c r="T67" i="20"/>
  <c r="R56" i="20"/>
  <c r="T23" i="20" l="1"/>
  <c r="S24" i="20"/>
  <c r="R73" i="20"/>
  <c r="R74" i="20" s="1"/>
  <c r="R77" i="20" s="1"/>
  <c r="S56" i="20"/>
  <c r="U67" i="20"/>
  <c r="C19" i="6"/>
  <c r="C15" i="6"/>
  <c r="C9" i="6"/>
  <c r="C5" i="6"/>
  <c r="C31" i="6" s="1"/>
  <c r="C32" i="6" s="1"/>
  <c r="U23" i="20" l="1"/>
  <c r="T24" i="20"/>
  <c r="S73" i="20"/>
  <c r="S74" i="20" s="1"/>
  <c r="S77" i="20" s="1"/>
  <c r="V67" i="20"/>
  <c r="T56" i="20"/>
  <c r="C28" i="6"/>
  <c r="C27" i="6"/>
  <c r="C26" i="6" s="1"/>
  <c r="V23" i="20" l="1"/>
  <c r="U24" i="20"/>
  <c r="T73" i="20"/>
  <c r="T74" i="20" s="1"/>
  <c r="T77" i="20" s="1"/>
  <c r="U56" i="20"/>
  <c r="W67" i="20"/>
  <c r="C25" i="6"/>
  <c r="W23" i="20" l="1"/>
  <c r="V24" i="20"/>
  <c r="U73" i="20"/>
  <c r="U74" i="20" s="1"/>
  <c r="U77" i="20" s="1"/>
  <c r="X67" i="20"/>
  <c r="V56" i="20"/>
  <c r="X23" i="20" l="1"/>
  <c r="W24" i="20"/>
  <c r="V73" i="20"/>
  <c r="V74" i="20" s="1"/>
  <c r="V77" i="20" s="1"/>
  <c r="W56" i="20"/>
  <c r="Y67" i="20"/>
  <c r="Y23" i="20" l="1"/>
  <c r="X24" i="20"/>
  <c r="W73" i="20"/>
  <c r="W74" i="20" s="1"/>
  <c r="W77" i="20" s="1"/>
  <c r="Z67" i="20"/>
  <c r="X56" i="20"/>
  <c r="Z23" i="20" l="1"/>
  <c r="Y24" i="20"/>
  <c r="X73" i="20"/>
  <c r="X74" i="20" s="1"/>
  <c r="X77" i="20" s="1"/>
  <c r="Y56" i="20"/>
  <c r="AA67" i="20"/>
  <c r="AA23" i="20" l="1"/>
  <c r="Z24" i="20"/>
  <c r="Y73" i="20"/>
  <c r="Y74" i="20" s="1"/>
  <c r="Y77" i="20" s="1"/>
  <c r="AB67" i="20"/>
  <c r="Z56" i="20"/>
  <c r="AB23" i="20" l="1"/>
  <c r="AA24" i="20"/>
  <c r="Z73" i="20"/>
  <c r="Z74" i="20" s="1"/>
  <c r="Z77" i="20" s="1"/>
  <c r="AA56" i="20"/>
  <c r="AC67" i="20"/>
  <c r="G68" i="20" s="1"/>
  <c r="AC23" i="20" l="1"/>
  <c r="AB24" i="20"/>
  <c r="AA73" i="20"/>
  <c r="AA74" i="20" s="1"/>
  <c r="AA77" i="20" s="1"/>
  <c r="AB56" i="20"/>
  <c r="AC24" i="20" l="1"/>
  <c r="AC42" i="20"/>
  <c r="AC47" i="20" s="1"/>
  <c r="G48" i="20" s="1"/>
  <c r="AB73" i="20"/>
  <c r="AB74" i="20" s="1"/>
  <c r="AB77" i="20" s="1"/>
  <c r="AC56" i="20"/>
  <c r="G57" i="20" l="1"/>
  <c r="AC73" i="20"/>
  <c r="AC74" i="20" s="1"/>
  <c r="G75" i="20" l="1"/>
  <c r="AC77" i="20"/>
  <c r="G77" i="20"/>
  <c r="G79" i="20" s="1"/>
  <c r="G80" i="20" l="1"/>
  <c r="G83" i="20" s="1"/>
</calcChain>
</file>

<file path=xl/sharedStrings.xml><?xml version="1.0" encoding="utf-8"?>
<sst xmlns="http://schemas.openxmlformats.org/spreadsheetml/2006/main" count="115" uniqueCount="102">
  <si>
    <t>Land Value</t>
  </si>
  <si>
    <t>Building Value</t>
  </si>
  <si>
    <t>Cost of ownership</t>
  </si>
  <si>
    <t>Residual value</t>
  </si>
  <si>
    <t>Acquisition cost</t>
  </si>
  <si>
    <t>Resale value at end of analysis period</t>
  </si>
  <si>
    <t>Total cash flow</t>
  </si>
  <si>
    <t>Annualised payment</t>
  </si>
  <si>
    <t>Term</t>
  </si>
  <si>
    <t>Explanation</t>
  </si>
  <si>
    <t>The expected return from holding a riskless security.  Nominal risk-free rate of return estimated</t>
  </si>
  <si>
    <t>The market risk premium, measured as the difference between expected holdings from a market portfolio and the risk free rate.</t>
  </si>
  <si>
    <t>Market rate</t>
  </si>
  <si>
    <t>The equity beta (be) measures the operational risk associated with the business relative to the market as a whole for a given financial risk based on gearing level.</t>
  </si>
  <si>
    <t>E</t>
  </si>
  <si>
    <t>Assumed level of equity</t>
  </si>
  <si>
    <t>D</t>
  </si>
  <si>
    <t>Assumed level of debt</t>
  </si>
  <si>
    <t>V</t>
  </si>
  <si>
    <t>Sum of assumed debt level plus equity level</t>
  </si>
  <si>
    <t>Effective tax rate</t>
  </si>
  <si>
    <t>g</t>
  </si>
  <si>
    <t>p</t>
  </si>
  <si>
    <t>Expected inflation - used</t>
  </si>
  <si>
    <t>DM</t>
  </si>
  <si>
    <t>Debt margin</t>
  </si>
  <si>
    <t>Other margins (asymmetric risk, self-insurance)</t>
  </si>
  <si>
    <t>WACC conversion format, does not require project cashflows to include debt or franking credits</t>
  </si>
  <si>
    <t>WACC</t>
  </si>
  <si>
    <t>Real post tax</t>
  </si>
  <si>
    <t>Nominal pre-tax</t>
  </si>
  <si>
    <t>Vanilla WACC, must include tax credits for debt and franking credits in the cashflows</t>
  </si>
  <si>
    <t>Nominal Post Tax</t>
  </si>
  <si>
    <t>Real Post Tax</t>
  </si>
  <si>
    <t>Weighted Average Cost of Capital</t>
  </si>
  <si>
    <t>Year</t>
  </si>
  <si>
    <t>Real pre-tax</t>
  </si>
  <si>
    <r>
      <t>R</t>
    </r>
    <r>
      <rPr>
        <vertAlign val="subscript"/>
        <sz val="9"/>
        <rFont val="Calibri"/>
        <family val="2"/>
        <scheme val="minor"/>
      </rPr>
      <t>e</t>
    </r>
  </si>
  <si>
    <r>
      <t>Post-tax return on equity  (including allowance for imputation credits) calculated using the CAPM as follows:  R</t>
    </r>
    <r>
      <rPr>
        <vertAlign val="subscript"/>
        <sz val="9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>=(R</t>
    </r>
    <r>
      <rPr>
        <vertAlign val="subscript"/>
        <sz val="9"/>
        <rFont val="Calibri"/>
        <family val="2"/>
        <scheme val="minor"/>
      </rPr>
      <t>f</t>
    </r>
    <r>
      <rPr>
        <sz val="9"/>
        <color theme="1"/>
        <rFont val="Calibri"/>
        <family val="2"/>
        <scheme val="minor"/>
      </rPr>
      <t>+</t>
    </r>
    <r>
      <rPr>
        <sz val="9"/>
        <rFont val="Calibri"/>
        <family val="2"/>
        <scheme val="minor"/>
      </rPr>
      <t>b</t>
    </r>
    <r>
      <rPr>
        <vertAlign val="subscript"/>
        <sz val="9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>(R</t>
    </r>
    <r>
      <rPr>
        <vertAlign val="subscript"/>
        <sz val="9"/>
        <rFont val="Calibri"/>
        <family val="2"/>
        <scheme val="minor"/>
      </rPr>
      <t>m</t>
    </r>
    <r>
      <rPr>
        <sz val="9"/>
        <color theme="1"/>
        <rFont val="Calibri"/>
        <family val="2"/>
        <scheme val="minor"/>
      </rPr>
      <t>-R</t>
    </r>
    <r>
      <rPr>
        <vertAlign val="subscript"/>
        <sz val="9"/>
        <rFont val="Calibri"/>
        <family val="2"/>
        <scheme val="minor"/>
      </rPr>
      <t>f</t>
    </r>
    <r>
      <rPr>
        <sz val="9"/>
        <color theme="1"/>
        <rFont val="Calibri"/>
        <family val="2"/>
        <scheme val="minor"/>
      </rPr>
      <t>)</t>
    </r>
  </si>
  <si>
    <r>
      <t>Input values for R</t>
    </r>
    <r>
      <rPr>
        <i/>
        <vertAlign val="subscript"/>
        <sz val="9"/>
        <rFont val="Calibri"/>
        <family val="2"/>
        <scheme val="minor"/>
      </rPr>
      <t>e</t>
    </r>
  </si>
  <si>
    <r>
      <t>R</t>
    </r>
    <r>
      <rPr>
        <vertAlign val="subscript"/>
        <sz val="9"/>
        <rFont val="Calibri"/>
        <family val="2"/>
        <scheme val="minor"/>
      </rPr>
      <t>f</t>
    </r>
  </si>
  <si>
    <r>
      <t>R</t>
    </r>
    <r>
      <rPr>
        <vertAlign val="subscript"/>
        <sz val="9"/>
        <rFont val="Calibri"/>
        <family val="2"/>
        <scheme val="minor"/>
      </rPr>
      <t>m</t>
    </r>
    <r>
      <rPr>
        <sz val="9"/>
        <color theme="1"/>
        <rFont val="Calibri"/>
        <family val="2"/>
        <scheme val="minor"/>
      </rPr>
      <t>-R</t>
    </r>
    <r>
      <rPr>
        <vertAlign val="subscript"/>
        <sz val="9"/>
        <rFont val="Calibri"/>
        <family val="2"/>
        <scheme val="minor"/>
      </rPr>
      <t>f</t>
    </r>
  </si>
  <si>
    <r>
      <t>R</t>
    </r>
    <r>
      <rPr>
        <vertAlign val="subscript"/>
        <sz val="9"/>
        <rFont val="Calibri"/>
        <family val="2"/>
        <scheme val="minor"/>
      </rPr>
      <t>m</t>
    </r>
  </si>
  <si>
    <r>
      <t>b</t>
    </r>
    <r>
      <rPr>
        <vertAlign val="subscript"/>
        <sz val="9"/>
        <rFont val="Calibri"/>
        <family val="2"/>
        <scheme val="minor"/>
      </rPr>
      <t>e</t>
    </r>
  </si>
  <si>
    <r>
      <t>t</t>
    </r>
    <r>
      <rPr>
        <vertAlign val="subscript"/>
        <sz val="9"/>
        <rFont val="Calibri"/>
        <family val="2"/>
        <scheme val="minor"/>
      </rPr>
      <t>e</t>
    </r>
  </si>
  <si>
    <r>
      <t xml:space="preserve">Value of imputation credits. </t>
    </r>
    <r>
      <rPr>
        <sz val="9"/>
        <rFont val="Calibri"/>
        <family val="2"/>
        <scheme val="minor"/>
      </rPr>
      <t>g</t>
    </r>
    <r>
      <rPr>
        <sz val="9"/>
        <color theme="1"/>
        <rFont val="Calibri"/>
        <family val="2"/>
        <scheme val="minor"/>
      </rPr>
      <t xml:space="preserve"> = 1 when all franking credits can be used and </t>
    </r>
    <r>
      <rPr>
        <sz val="9"/>
        <rFont val="Calibri"/>
        <family val="2"/>
        <scheme val="minor"/>
      </rPr>
      <t>g</t>
    </r>
    <r>
      <rPr>
        <sz val="9"/>
        <color theme="1"/>
        <rFont val="Calibri"/>
        <family val="2"/>
        <scheme val="minor"/>
      </rPr>
      <t xml:space="preserve"> = 0 when none can be used.</t>
    </r>
  </si>
  <si>
    <r>
      <t>R</t>
    </r>
    <r>
      <rPr>
        <vertAlign val="subscript"/>
        <sz val="9"/>
        <rFont val="Calibri"/>
        <family val="2"/>
        <scheme val="minor"/>
      </rPr>
      <t>d</t>
    </r>
  </si>
  <si>
    <r>
      <t>Cost of debt (R</t>
    </r>
    <r>
      <rPr>
        <vertAlign val="subscript"/>
        <sz val="9"/>
        <rFont val="Calibri"/>
        <family val="2"/>
        <scheme val="minor"/>
      </rPr>
      <t>f</t>
    </r>
    <r>
      <rPr>
        <sz val="9"/>
        <color theme="1"/>
        <rFont val="Calibri"/>
        <family val="2"/>
        <scheme val="minor"/>
      </rPr>
      <t xml:space="preserve"> + debt risk margin)</t>
    </r>
  </si>
  <si>
    <r>
      <t>Nominal, post-tax = R</t>
    </r>
    <r>
      <rPr>
        <vertAlign val="subscript"/>
        <sz val="9"/>
        <rFont val="Calibri"/>
        <family val="2"/>
        <scheme val="minor"/>
      </rPr>
      <t>e</t>
    </r>
    <r>
      <rPr>
        <b/>
        <sz val="9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>E/V</t>
    </r>
    <r>
      <rPr>
        <b/>
        <sz val="9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>(1-t</t>
    </r>
    <r>
      <rPr>
        <vertAlign val="subscript"/>
        <sz val="9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>)/(1-t</t>
    </r>
    <r>
      <rPr>
        <vertAlign val="subscript"/>
        <sz val="9"/>
        <rFont val="Calibri"/>
        <family val="2"/>
        <scheme val="minor"/>
      </rPr>
      <t>e</t>
    </r>
    <r>
      <rPr>
        <b/>
        <sz val="9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>(1-</t>
    </r>
    <r>
      <rPr>
        <sz val="9"/>
        <rFont val="Calibri"/>
        <family val="2"/>
        <scheme val="minor"/>
      </rPr>
      <t>g</t>
    </r>
    <r>
      <rPr>
        <sz val="9"/>
        <color theme="1"/>
        <rFont val="Calibri"/>
        <family val="2"/>
        <scheme val="minor"/>
      </rPr>
      <t>))+R</t>
    </r>
    <r>
      <rPr>
        <vertAlign val="subscript"/>
        <sz val="9"/>
        <rFont val="Calibri"/>
        <family val="2"/>
        <scheme val="minor"/>
      </rPr>
      <t>d</t>
    </r>
    <r>
      <rPr>
        <b/>
        <sz val="9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>D/V</t>
    </r>
    <r>
      <rPr>
        <b/>
        <sz val="9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>(1-t</t>
    </r>
    <r>
      <rPr>
        <vertAlign val="subscript"/>
        <sz val="9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>)</t>
    </r>
  </si>
  <si>
    <t>Institutional</t>
  </si>
  <si>
    <t>Reasonable Rent Contributions</t>
  </si>
  <si>
    <t>Tax</t>
  </si>
  <si>
    <t>Profit</t>
  </si>
  <si>
    <t>Tax cost / (benefit)</t>
  </si>
  <si>
    <t>Annualised payment grossed up for tax</t>
  </si>
  <si>
    <t>Gross rental yields</t>
  </si>
  <si>
    <t>Houses (long term)</t>
  </si>
  <si>
    <t>Apartments (long term)</t>
  </si>
  <si>
    <t>Nominal after tax cash flows</t>
  </si>
  <si>
    <t>SDA BENCHMARK PRICING MODEL</t>
  </si>
  <si>
    <t>Area of property</t>
  </si>
  <si>
    <t>Location Multiplier</t>
  </si>
  <si>
    <t>CPI</t>
  </si>
  <si>
    <t>Real Land Indexation</t>
  </si>
  <si>
    <t>Real Building Indexation</t>
  </si>
  <si>
    <t>Remaining Asset Life</t>
  </si>
  <si>
    <t>Maintenance and Outgoings</t>
  </si>
  <si>
    <t>Tenancy Management</t>
  </si>
  <si>
    <t>Open Ex (% of property value)</t>
  </si>
  <si>
    <t>NPV Acquisition Cost</t>
  </si>
  <si>
    <t>Cost of Ownership</t>
  </si>
  <si>
    <t>NPV Cost of Ownership</t>
  </si>
  <si>
    <t>TOTAL</t>
  </si>
  <si>
    <t>Cost of Land</t>
  </si>
  <si>
    <t>Cost of Building</t>
  </si>
  <si>
    <t>Baseline Building Cost</t>
  </si>
  <si>
    <t>Cyclone Multiplier</t>
  </si>
  <si>
    <t>TOTAL Acquisition cost</t>
  </si>
  <si>
    <t>NPV Residual Value</t>
  </si>
  <si>
    <t>Fees on sale</t>
  </si>
  <si>
    <t>Loss of Building Value on Sale</t>
  </si>
  <si>
    <t>Number of Residents</t>
  </si>
  <si>
    <t>Vacancy Rate</t>
  </si>
  <si>
    <t>Real rent Growth</t>
  </si>
  <si>
    <t>RRC</t>
  </si>
  <si>
    <t>Total rent</t>
  </si>
  <si>
    <t>Particpant Rent</t>
  </si>
  <si>
    <t>NPV Participant Rent</t>
  </si>
  <si>
    <t>Depreciaton Expense</t>
  </si>
  <si>
    <t>Tax Life of Building</t>
  </si>
  <si>
    <t>NPV Tax</t>
  </si>
  <si>
    <t>ASSET VALUE</t>
  </si>
  <si>
    <t>Initial Building Value</t>
  </si>
  <si>
    <t>Initial Land Value</t>
  </si>
  <si>
    <t>Cost of Building (As if Fully Accessible)</t>
  </si>
  <si>
    <t>Building Value (Fully Accessible)</t>
  </si>
  <si>
    <t>Annual SDA Amount per particpant (vacancy adjusted)</t>
  </si>
  <si>
    <t>2015-16 Prices</t>
  </si>
  <si>
    <t>Cashflow - WORKED EXAMPLE - 3 BEDROOM HIGH PHYSICAL SUPPORT HOUSE</t>
  </si>
  <si>
    <t>Location Multiplier (median metropolitan)</t>
  </si>
  <si>
    <t>Cost per Square Metre (median metropolitan)</t>
  </si>
  <si>
    <r>
      <rPr>
        <b/>
        <sz val="13"/>
        <color rgb="FFFF0000"/>
        <rFont val="Calibri"/>
        <family val="2"/>
        <scheme val="minor"/>
      </rPr>
      <t>DISCLAIMER</t>
    </r>
    <r>
      <rPr>
        <sz val="13"/>
        <color rgb="FFFF0000"/>
        <rFont val="Calibri"/>
        <family val="2"/>
        <scheme val="minor"/>
      </rPr>
      <t xml:space="preserve"> - This worked example relates specifically to the SDA Pricing Review 2022-23 Consultation Paper and the pricing methodology detailed there. This is one example only to assist in understanding how the methodology works in practice.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</si>
</sst>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-&quot;$&quot;* #,##0_-;\-&quot;$&quot;* #,##0_-;_-&quot;$&quot;* &quot;-&quot;??_-;_-@_-"/>
    <numFmt numFmtId="167" formatCode="0.0%"/>
    <numFmt numFmtId="168" formatCode="_-&quot;$&quot;* #,##0.0_-;\-&quot;$&quot;* #,##0.0_-;_-&quot;$&quot;* &quot;-&quot;??_-;_-@_-"/>
    <numFmt numFmtId="169" formatCode="#,##0_-"/>
    <numFmt numFmtId="170" formatCode="#,##0.00_-"/>
    <numFmt numFmtId="171" formatCode="_-&quot;$&quot;* #,##0.000_-;\-&quot;$&quot;* #,##0.000_-;_-&quot;$&quot;* &quot;-&quot;??_-;_-@_-"/>
    <numFmt numFmtId="172" formatCode="_-&quot;$&quot;* #,##0_-;[Red]\-&quot;$&quot;* #,##0_-;_-&quot;$&quot;* &quot;-&quot;??_-;_-@_-"/>
  </numFmts>
  <fonts count="22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vertAlign val="subscript"/>
      <sz val="9"/>
      <name val="Calibri"/>
      <family val="2"/>
      <scheme val="minor"/>
    </font>
    <font>
      <i/>
      <sz val="9"/>
      <name val="Calibri"/>
      <family val="2"/>
      <scheme val="minor"/>
    </font>
    <font>
      <i/>
      <vertAlign val="subscript"/>
      <sz val="9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ck">
        <color indexed="55"/>
      </left>
      <right style="thick">
        <color indexed="55"/>
      </right>
      <top style="thick">
        <color indexed="64"/>
      </top>
      <bottom style="thick">
        <color indexed="55"/>
      </bottom>
      <diagonal/>
    </border>
    <border>
      <left style="thick">
        <color indexed="55"/>
      </left>
      <right/>
      <top style="thick">
        <color indexed="64"/>
      </top>
      <bottom style="thick">
        <color indexed="55"/>
      </bottom>
      <diagonal/>
    </border>
    <border>
      <left style="thick">
        <color indexed="55"/>
      </left>
      <right style="thick">
        <color indexed="55"/>
      </right>
      <top style="thick">
        <color indexed="55"/>
      </top>
      <bottom style="thick">
        <color indexed="55"/>
      </bottom>
      <diagonal/>
    </border>
    <border>
      <left style="thick">
        <color indexed="64"/>
      </left>
      <right style="thick">
        <color indexed="55"/>
      </right>
      <top style="thick">
        <color indexed="55"/>
      </top>
      <bottom/>
      <diagonal/>
    </border>
    <border>
      <left/>
      <right style="thick">
        <color indexed="55"/>
      </right>
      <top/>
      <bottom/>
      <diagonal/>
    </border>
    <border>
      <left/>
      <right style="thick">
        <color indexed="55"/>
      </right>
      <top style="thick">
        <color indexed="55"/>
      </top>
      <bottom style="double">
        <color indexed="64"/>
      </bottom>
      <diagonal/>
    </border>
    <border>
      <left/>
      <right/>
      <top style="double">
        <color indexed="64"/>
      </top>
      <bottom style="thick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55"/>
      </left>
      <right style="thick">
        <color indexed="55"/>
      </right>
      <top style="medium">
        <color indexed="64"/>
      </top>
      <bottom style="thick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55"/>
      </left>
      <right style="thick">
        <color indexed="55"/>
      </right>
      <top style="thick">
        <color indexed="55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55"/>
      </left>
      <right style="medium">
        <color indexed="64"/>
      </right>
      <top style="medium">
        <color indexed="64"/>
      </top>
      <bottom style="thick">
        <color indexed="55"/>
      </bottom>
      <diagonal/>
    </border>
    <border>
      <left style="thick">
        <color indexed="55"/>
      </left>
      <right style="medium">
        <color indexed="64"/>
      </right>
      <top style="thick">
        <color indexed="5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55"/>
      </bottom>
      <diagonal/>
    </border>
    <border>
      <left style="medium">
        <color indexed="64"/>
      </left>
      <right style="thick">
        <color indexed="55"/>
      </right>
      <top style="thick">
        <color indexed="55"/>
      </top>
      <bottom/>
      <diagonal/>
    </border>
    <border>
      <left style="thick">
        <color indexed="55"/>
      </left>
      <right style="medium">
        <color indexed="64"/>
      </right>
      <top style="thick">
        <color indexed="55"/>
      </top>
      <bottom style="thick">
        <color indexed="55"/>
      </bottom>
      <diagonal/>
    </border>
    <border>
      <left style="medium">
        <color indexed="64"/>
      </left>
      <right style="thick">
        <color indexed="55"/>
      </right>
      <top/>
      <bottom/>
      <diagonal/>
    </border>
    <border>
      <left style="medium">
        <color indexed="64"/>
      </left>
      <right style="thick">
        <color indexed="55"/>
      </right>
      <top/>
      <bottom style="thick">
        <color indexed="55"/>
      </bottom>
      <diagonal/>
    </border>
    <border>
      <left style="medium">
        <color indexed="64"/>
      </left>
      <right style="thick">
        <color indexed="55"/>
      </right>
      <top style="medium">
        <color indexed="64"/>
      </top>
      <bottom style="thick">
        <color indexed="55"/>
      </bottom>
      <diagonal/>
    </border>
    <border>
      <left style="thick">
        <color indexed="55"/>
      </left>
      <right style="medium">
        <color indexed="64"/>
      </right>
      <top style="thick">
        <color indexed="55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22"/>
      </bottom>
      <diagonal/>
    </border>
    <border>
      <left/>
      <right style="medium">
        <color indexed="64"/>
      </right>
      <top style="double">
        <color indexed="64"/>
      </top>
      <bottom style="thick">
        <color indexed="22"/>
      </bottom>
      <diagonal/>
    </border>
    <border>
      <left style="medium">
        <color indexed="64"/>
      </left>
      <right style="thick">
        <color indexed="55"/>
      </right>
      <top style="thick">
        <color indexed="55"/>
      </top>
      <bottom style="thick">
        <color indexed="55"/>
      </bottom>
      <diagonal/>
    </border>
    <border>
      <left style="medium">
        <color indexed="64"/>
      </left>
      <right style="thick">
        <color indexed="55"/>
      </right>
      <top style="thick">
        <color indexed="64"/>
      </top>
      <bottom style="thick">
        <color indexed="55"/>
      </bottom>
      <diagonal/>
    </border>
    <border>
      <left style="thick">
        <color indexed="55"/>
      </left>
      <right style="medium">
        <color indexed="64"/>
      </right>
      <top style="thick">
        <color indexed="64"/>
      </top>
      <bottom style="thick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55"/>
      </right>
      <top style="thick">
        <color indexed="55"/>
      </top>
      <bottom style="medium">
        <color indexed="64"/>
      </bottom>
      <diagonal/>
    </border>
  </borders>
  <cellStyleXfs count="13">
    <xf numFmtId="0" fontId="0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0" fillId="3" borderId="0" xfId="0" applyFill="1"/>
    <xf numFmtId="0" fontId="7" fillId="3" borderId="0" xfId="0" applyFont="1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9" fillId="3" borderId="0" xfId="0" applyFont="1" applyFill="1"/>
    <xf numFmtId="3" fontId="10" fillId="2" borderId="0" xfId="0" applyNumberFormat="1" applyFont="1" applyFill="1"/>
    <xf numFmtId="3" fontId="0" fillId="2" borderId="0" xfId="0" applyNumberFormat="1" applyFill="1"/>
    <xf numFmtId="0" fontId="11" fillId="2" borderId="0" xfId="0" applyFont="1" applyFill="1"/>
    <xf numFmtId="166" fontId="0" fillId="2" borderId="0" xfId="0" applyNumberFormat="1" applyFill="1"/>
    <xf numFmtId="0" fontId="12" fillId="3" borderId="0" xfId="0" applyFont="1" applyFill="1"/>
    <xf numFmtId="0" fontId="0" fillId="0" borderId="0" xfId="0" applyAlignment="1">
      <alignment wrapText="1"/>
    </xf>
    <xf numFmtId="10" fontId="0" fillId="0" borderId="14" xfId="1" quotePrefix="1" applyNumberFormat="1" applyFont="1" applyBorder="1" applyAlignment="1">
      <alignment horizontal="center" vertical="center"/>
    </xf>
    <xf numFmtId="10" fontId="0" fillId="0" borderId="15" xfId="1" quotePrefix="1" applyNumberFormat="1" applyFont="1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 wrapText="1"/>
    </xf>
    <xf numFmtId="10" fontId="0" fillId="0" borderId="15" xfId="1" applyNumberFormat="1" applyFont="1" applyBorder="1" applyAlignment="1">
      <alignment horizontal="center" vertical="center" wrapText="1"/>
    </xf>
    <xf numFmtId="10" fontId="0" fillId="0" borderId="22" xfId="1" applyNumberFormat="1" applyFont="1" applyFill="1" applyBorder="1" applyAlignment="1">
      <alignment horizontal="center" vertical="center"/>
    </xf>
    <xf numFmtId="10" fontId="0" fillId="0" borderId="24" xfId="1" applyNumberFormat="1" applyFont="1" applyFill="1" applyBorder="1" applyAlignment="1">
      <alignment horizontal="center" vertical="center"/>
    </xf>
    <xf numFmtId="10" fontId="0" fillId="0" borderId="18" xfId="1" applyNumberFormat="1" applyFont="1" applyFill="1" applyBorder="1" applyAlignment="1">
      <alignment horizontal="center" vertical="center"/>
    </xf>
    <xf numFmtId="9" fontId="0" fillId="0" borderId="18" xfId="1" applyFont="1" applyFill="1" applyBorder="1" applyAlignment="1">
      <alignment horizontal="center" vertical="center"/>
    </xf>
    <xf numFmtId="10" fontId="0" fillId="4" borderId="18" xfId="1" applyNumberFormat="1" applyFont="1" applyFill="1" applyBorder="1" applyAlignment="1">
      <alignment horizontal="center" vertical="center"/>
    </xf>
    <xf numFmtId="9" fontId="0" fillId="4" borderId="27" xfId="1" applyFont="1" applyFill="1" applyBorder="1" applyAlignment="1">
      <alignment horizontal="center" vertical="center"/>
    </xf>
    <xf numFmtId="9" fontId="0" fillId="4" borderId="18" xfId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wrapText="1"/>
    </xf>
    <xf numFmtId="0" fontId="13" fillId="3" borderId="13" xfId="0" applyFont="1" applyFill="1" applyBorder="1" applyAlignment="1">
      <alignment horizontal="center" vertical="center"/>
    </xf>
    <xf numFmtId="0" fontId="13" fillId="3" borderId="9" xfId="0" applyFont="1" applyFill="1" applyBorder="1"/>
    <xf numFmtId="0" fontId="13" fillId="3" borderId="13" xfId="0" applyFont="1" applyFill="1" applyBorder="1"/>
    <xf numFmtId="0" fontId="6" fillId="2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ont="1" applyFill="1"/>
    <xf numFmtId="165" fontId="0" fillId="2" borderId="0" xfId="0" applyNumberFormat="1" applyFill="1" applyAlignment="1">
      <alignment horizontal="center"/>
    </xf>
    <xf numFmtId="0" fontId="0" fillId="0" borderId="4" xfId="0" quotePrefix="1" applyFont="1" applyBorder="1" applyAlignment="1">
      <alignment vertical="center"/>
    </xf>
    <xf numFmtId="0" fontId="0" fillId="0" borderId="6" xfId="0" quotePrefix="1" applyFont="1" applyBorder="1" applyAlignment="1">
      <alignment horizontal="left" vertical="center" wrapText="1"/>
    </xf>
    <xf numFmtId="0" fontId="0" fillId="0" borderId="25" xfId="0" quotePrefix="1" applyFont="1" applyBorder="1" applyAlignment="1">
      <alignment horizontal="left" vertical="center"/>
    </xf>
    <xf numFmtId="0" fontId="0" fillId="0" borderId="3" xfId="0" quotePrefix="1" applyFont="1" applyBorder="1" applyAlignment="1">
      <alignment horizontal="left" vertical="center" wrapText="1"/>
    </xf>
    <xf numFmtId="10" fontId="0" fillId="4" borderId="18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10" fontId="0" fillId="0" borderId="18" xfId="0" applyNumberFormat="1" applyFont="1" applyFill="1" applyBorder="1" applyAlignment="1">
      <alignment horizontal="center" vertical="center"/>
    </xf>
    <xf numFmtId="2" fontId="0" fillId="4" borderId="18" xfId="0" applyNumberFormat="1" applyFont="1" applyFill="1" applyBorder="1" applyAlignment="1">
      <alignment horizontal="center" vertical="center"/>
    </xf>
    <xf numFmtId="0" fontId="0" fillId="0" borderId="28" xfId="0" applyFont="1" applyBorder="1"/>
    <xf numFmtId="0" fontId="0" fillId="0" borderId="0" xfId="0" applyFont="1" applyBorder="1" applyAlignment="1">
      <alignment wrapText="1"/>
    </xf>
    <xf numFmtId="0" fontId="0" fillId="0" borderId="29" xfId="0" applyFont="1" applyBorder="1" applyAlignment="1">
      <alignment horizontal="center" vertical="center"/>
    </xf>
    <xf numFmtId="0" fontId="0" fillId="0" borderId="0" xfId="0" applyFont="1" applyBorder="1"/>
    <xf numFmtId="0" fontId="0" fillId="0" borderId="26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25" xfId="0" applyFont="1" applyBorder="1" applyAlignment="1">
      <alignment vertical="center"/>
    </xf>
    <xf numFmtId="9" fontId="0" fillId="4" borderId="18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horizontal="left" vertical="center"/>
    </xf>
    <xf numFmtId="0" fontId="0" fillId="0" borderId="30" xfId="0" quotePrefix="1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quotePrefix="1" applyFont="1" applyBorder="1" applyAlignment="1">
      <alignment horizontal="left" vertical="center" wrapText="1"/>
    </xf>
    <xf numFmtId="10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3" xfId="0" quotePrefix="1" applyFont="1" applyBorder="1" applyAlignment="1">
      <alignment horizontal="left" vertical="center"/>
    </xf>
    <xf numFmtId="0" fontId="0" fillId="0" borderId="20" xfId="0" applyFont="1" applyBorder="1" applyAlignment="1">
      <alignment vertical="center"/>
    </xf>
    <xf numFmtId="0" fontId="0" fillId="0" borderId="11" xfId="0" applyFont="1" applyBorder="1"/>
    <xf numFmtId="0" fontId="0" fillId="0" borderId="12" xfId="0" quotePrefix="1" applyFont="1" applyBorder="1" applyAlignment="1">
      <alignment horizontal="left" vertical="center" wrapText="1"/>
    </xf>
    <xf numFmtId="0" fontId="0" fillId="0" borderId="5" xfId="0" applyFont="1" applyBorder="1"/>
    <xf numFmtId="0" fontId="0" fillId="0" borderId="8" xfId="0" applyFont="1" applyBorder="1"/>
    <xf numFmtId="0" fontId="0" fillId="0" borderId="10" xfId="0" quotePrefix="1" applyFont="1" applyBorder="1" applyAlignment="1">
      <alignment horizontal="left" vertical="center"/>
    </xf>
    <xf numFmtId="0" fontId="0" fillId="0" borderId="12" xfId="0" quotePrefix="1" applyFont="1" applyBorder="1" applyAlignment="1">
      <alignment horizontal="left" vertical="center"/>
    </xf>
    <xf numFmtId="0" fontId="14" fillId="3" borderId="21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center" vertical="top" wrapText="1"/>
    </xf>
    <xf numFmtId="0" fontId="16" fillId="0" borderId="23" xfId="0" quotePrefix="1" applyFont="1" applyBorder="1" applyAlignment="1">
      <alignment horizontal="left" vertical="center"/>
    </xf>
    <xf numFmtId="0" fontId="16" fillId="0" borderId="7" xfId="0" quotePrefix="1" applyFont="1" applyBorder="1" applyAlignment="1">
      <alignment horizontal="left" vertical="center" wrapText="1"/>
    </xf>
    <xf numFmtId="0" fontId="8" fillId="0" borderId="25" xfId="0" quotePrefix="1" applyFont="1" applyBorder="1" applyAlignment="1">
      <alignment horizontal="left" vertical="center"/>
    </xf>
    <xf numFmtId="0" fontId="8" fillId="0" borderId="25" xfId="0" applyFont="1" applyBorder="1" applyAlignment="1">
      <alignment vertical="center"/>
    </xf>
    <xf numFmtId="0" fontId="18" fillId="3" borderId="16" xfId="0" applyFont="1" applyFill="1" applyBorder="1" applyAlignment="1">
      <alignment vertical="center"/>
    </xf>
    <xf numFmtId="0" fontId="18" fillId="3" borderId="8" xfId="0" applyFont="1" applyFill="1" applyBorder="1"/>
    <xf numFmtId="44" fontId="0" fillId="2" borderId="0" xfId="0" applyNumberFormat="1" applyFill="1"/>
    <xf numFmtId="3" fontId="0" fillId="2" borderId="0" xfId="0" applyNumberFormat="1" applyFont="1" applyFill="1"/>
    <xf numFmtId="10" fontId="5" fillId="4" borderId="15" xfId="1" applyNumberFormat="1" applyFont="1" applyFill="1" applyBorder="1" applyAlignment="1">
      <alignment horizontal="center" vertical="center"/>
    </xf>
    <xf numFmtId="166" fontId="8" fillId="6" borderId="0" xfId="0" applyNumberFormat="1" applyFont="1" applyFill="1"/>
    <xf numFmtId="169" fontId="8" fillId="6" borderId="0" xfId="0" applyNumberFormat="1" applyFont="1" applyFill="1"/>
    <xf numFmtId="170" fontId="8" fillId="6" borderId="0" xfId="0" applyNumberFormat="1" applyFont="1" applyFill="1"/>
    <xf numFmtId="166" fontId="8" fillId="7" borderId="0" xfId="0" applyNumberFormat="1" applyFont="1" applyFill="1"/>
    <xf numFmtId="167" fontId="8" fillId="6" borderId="0" xfId="1" applyNumberFormat="1" applyFont="1" applyFill="1"/>
    <xf numFmtId="3" fontId="0" fillId="7" borderId="0" xfId="0" applyNumberFormat="1" applyFill="1"/>
    <xf numFmtId="3" fontId="0" fillId="6" borderId="0" xfId="0" applyNumberFormat="1" applyFill="1"/>
    <xf numFmtId="171" fontId="0" fillId="2" borderId="0" xfId="0" applyNumberFormat="1" applyFill="1"/>
    <xf numFmtId="168" fontId="0" fillId="2" borderId="0" xfId="0" applyNumberFormat="1" applyFill="1"/>
    <xf numFmtId="172" fontId="8" fillId="7" borderId="0" xfId="0" applyNumberFormat="1" applyFont="1" applyFill="1"/>
    <xf numFmtId="172" fontId="8" fillId="5" borderId="0" xfId="0" applyNumberFormat="1" applyFont="1" applyFill="1"/>
    <xf numFmtId="0" fontId="20" fillId="0" borderId="0" xfId="0" applyFont="1" applyAlignment="1">
      <alignment vertical="center"/>
    </xf>
  </cellXfs>
  <cellStyles count="13">
    <cellStyle name="Comma 2" xfId="3" xr:uid="{00000000-0005-0000-0000-000000000000}"/>
    <cellStyle name="Comma 3" xfId="6" xr:uid="{00000000-0005-0000-0000-000001000000}"/>
    <cellStyle name="Comma 3 2" xfId="8" xr:uid="{00000000-0005-0000-0000-000002000000}"/>
    <cellStyle name="Comma 4" xfId="12" xr:uid="{00000000-0005-0000-0000-000003000000}"/>
    <cellStyle name="Normal" xfId="0" builtinId="0"/>
    <cellStyle name="Normal 2" xfId="2" xr:uid="{00000000-0005-0000-0000-000005000000}"/>
    <cellStyle name="Normal 2 2" xfId="10" xr:uid="{00000000-0005-0000-0000-000006000000}"/>
    <cellStyle name="Normal 3" xfId="5" xr:uid="{00000000-0005-0000-0000-000007000000}"/>
    <cellStyle name="Normal 3 2" xfId="7" xr:uid="{00000000-0005-0000-0000-000008000000}"/>
    <cellStyle name="Normal 4" xfId="11" xr:uid="{00000000-0005-0000-0000-000009000000}"/>
    <cellStyle name="Percent" xfId="1" builtinId="5"/>
    <cellStyle name="Percent 2" xfId="4" xr:uid="{00000000-0005-0000-0000-00000B000000}"/>
    <cellStyle name="Percent 2 2" xfId="9" xr:uid="{00000000-0005-0000-0000-00000C000000}"/>
  </cellStyles>
  <dxfs count="0"/>
  <tableStyles count="0" defaultTableStyle="TableStyleMedium2" defaultPivotStyle="PivotStyleLight16"/>
  <colors>
    <mruColors>
      <color rgb="FFC1EDFF"/>
      <color rgb="FF0093D0"/>
      <color rgb="FF81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S37"/>
  <sheetViews>
    <sheetView showGridLines="0" zoomScaleNormal="100" workbookViewId="0">
      <selection activeCell="I13" sqref="I13"/>
    </sheetView>
  </sheetViews>
  <sheetFormatPr defaultRowHeight="12" x14ac:dyDescent="0.2"/>
  <cols>
    <col min="1" max="1" width="7.6640625" customWidth="1"/>
    <col min="2" max="2" width="79.6640625" customWidth="1"/>
    <col min="3" max="3" width="15.1640625" customWidth="1"/>
    <col min="4" max="5" width="9" bestFit="1" customWidth="1"/>
    <col min="6" max="7" width="15.1640625" customWidth="1"/>
    <col min="8" max="20" width="9" bestFit="1" customWidth="1"/>
    <col min="21" max="21" width="10.33203125" bestFit="1" customWidth="1"/>
  </cols>
  <sheetData>
    <row r="1" spans="1:19" s="1" customFormat="1" ht="19.5" customHeight="1" x14ac:dyDescent="0.35">
      <c r="A1" s="11" t="s">
        <v>59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1" customFormat="1" ht="21" x14ac:dyDescent="0.35">
      <c r="A2" s="3" t="s">
        <v>34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75" thickBot="1" x14ac:dyDescent="0.25"/>
    <row r="4" spans="1:19" ht="13.5" thickBot="1" x14ac:dyDescent="0.25">
      <c r="A4" s="70" t="s">
        <v>8</v>
      </c>
      <c r="B4" s="71" t="s">
        <v>9</v>
      </c>
      <c r="C4" s="72" t="s">
        <v>49</v>
      </c>
    </row>
    <row r="5" spans="1:19" ht="27" thickTop="1" thickBot="1" x14ac:dyDescent="0.25">
      <c r="A5" s="34" t="s">
        <v>37</v>
      </c>
      <c r="B5" s="35" t="s">
        <v>38</v>
      </c>
      <c r="C5" s="17">
        <f>C7+C10*(C8)+C21</f>
        <v>8.1000000000000003E-2</v>
      </c>
    </row>
    <row r="6" spans="1:19" ht="15" thickTop="1" thickBot="1" x14ac:dyDescent="0.25">
      <c r="A6" s="73" t="s">
        <v>39</v>
      </c>
      <c r="B6" s="74"/>
      <c r="C6" s="18"/>
    </row>
    <row r="7" spans="1:19" ht="25.5" thickTop="1" thickBot="1" x14ac:dyDescent="0.25">
      <c r="A7" s="36" t="s">
        <v>40</v>
      </c>
      <c r="B7" s="37" t="s">
        <v>10</v>
      </c>
      <c r="C7" s="38">
        <v>2.7E-2</v>
      </c>
    </row>
    <row r="8" spans="1:19" ht="25.5" thickTop="1" thickBot="1" x14ac:dyDescent="0.25">
      <c r="A8" s="36" t="s">
        <v>41</v>
      </c>
      <c r="B8" s="39" t="s">
        <v>11</v>
      </c>
      <c r="C8" s="21">
        <v>0.06</v>
      </c>
    </row>
    <row r="9" spans="1:19" ht="15" thickTop="1" thickBot="1" x14ac:dyDescent="0.25">
      <c r="A9" s="36" t="s">
        <v>42</v>
      </c>
      <c r="B9" s="39" t="s">
        <v>12</v>
      </c>
      <c r="C9" s="40">
        <f t="shared" ref="C9" si="0">C8+C7</f>
        <v>8.6999999999999994E-2</v>
      </c>
    </row>
    <row r="10" spans="1:19" ht="25.5" thickTop="1" thickBot="1" x14ac:dyDescent="0.25">
      <c r="A10" s="75" t="s">
        <v>43</v>
      </c>
      <c r="B10" s="37" t="s">
        <v>13</v>
      </c>
      <c r="C10" s="41">
        <v>0.9</v>
      </c>
    </row>
    <row r="11" spans="1:19" ht="12.75" thickTop="1" x14ac:dyDescent="0.2">
      <c r="A11" s="42"/>
      <c r="B11" s="43"/>
      <c r="C11" s="44"/>
    </row>
    <row r="12" spans="1:19" ht="12.75" thickBot="1" x14ac:dyDescent="0.25">
      <c r="A12" s="42"/>
      <c r="B12" s="45"/>
      <c r="C12" s="44"/>
    </row>
    <row r="13" spans="1:19" ht="13.5" thickTop="1" thickBot="1" x14ac:dyDescent="0.25">
      <c r="A13" s="46" t="s">
        <v>14</v>
      </c>
      <c r="B13" s="47" t="s">
        <v>15</v>
      </c>
      <c r="C13" s="22">
        <v>0.4</v>
      </c>
    </row>
    <row r="14" spans="1:19" ht="13.5" thickTop="1" thickBot="1" x14ac:dyDescent="0.25">
      <c r="A14" s="48" t="s">
        <v>16</v>
      </c>
      <c r="B14" s="39" t="s">
        <v>17</v>
      </c>
      <c r="C14" s="49">
        <v>0.6</v>
      </c>
    </row>
    <row r="15" spans="1:19" ht="13.5" thickTop="1" thickBot="1" x14ac:dyDescent="0.25">
      <c r="A15" s="48" t="s">
        <v>18</v>
      </c>
      <c r="B15" s="37" t="s">
        <v>19</v>
      </c>
      <c r="C15" s="20">
        <f>+C14+C13</f>
        <v>1</v>
      </c>
    </row>
    <row r="16" spans="1:19" ht="15" thickTop="1" thickBot="1" x14ac:dyDescent="0.25">
      <c r="A16" s="36" t="s">
        <v>44</v>
      </c>
      <c r="B16" s="39" t="s">
        <v>20</v>
      </c>
      <c r="C16" s="23">
        <v>0.3</v>
      </c>
    </row>
    <row r="17" spans="1:3" ht="25.5" thickTop="1" thickBot="1" x14ac:dyDescent="0.25">
      <c r="A17" s="76" t="s">
        <v>21</v>
      </c>
      <c r="B17" s="37" t="s">
        <v>45</v>
      </c>
      <c r="C17" s="41">
        <v>0</v>
      </c>
    </row>
    <row r="18" spans="1:3" ht="13.5" thickTop="1" thickBot="1" x14ac:dyDescent="0.25">
      <c r="A18" s="76" t="s">
        <v>22</v>
      </c>
      <c r="B18" s="37" t="s">
        <v>23</v>
      </c>
      <c r="C18" s="38">
        <v>2.5000000000000001E-2</v>
      </c>
    </row>
    <row r="19" spans="1:3" ht="15" thickTop="1" thickBot="1" x14ac:dyDescent="0.25">
      <c r="A19" s="36" t="s">
        <v>46</v>
      </c>
      <c r="B19" s="37" t="s">
        <v>47</v>
      </c>
      <c r="C19" s="19">
        <f>+C20+C7</f>
        <v>5.2000000000000005E-2</v>
      </c>
    </row>
    <row r="20" spans="1:3" ht="13.5" thickTop="1" thickBot="1" x14ac:dyDescent="0.25">
      <c r="A20" s="50" t="s">
        <v>24</v>
      </c>
      <c r="B20" s="39" t="s">
        <v>25</v>
      </c>
      <c r="C20" s="21">
        <v>2.5000000000000001E-2</v>
      </c>
    </row>
    <row r="21" spans="1:3" ht="13.5" thickTop="1" thickBot="1" x14ac:dyDescent="0.25">
      <c r="A21" s="51"/>
      <c r="B21" s="52" t="s">
        <v>26</v>
      </c>
      <c r="C21" s="81">
        <v>0</v>
      </c>
    </row>
    <row r="22" spans="1:3" x14ac:dyDescent="0.2">
      <c r="A22" s="53"/>
      <c r="B22" s="54"/>
      <c r="C22" s="55"/>
    </row>
    <row r="23" spans="1:3" ht="12.75" thickBot="1" x14ac:dyDescent="0.25">
      <c r="A23" s="56"/>
      <c r="B23" s="57"/>
      <c r="C23" s="58"/>
    </row>
    <row r="24" spans="1:3" ht="12.75" thickBot="1" x14ac:dyDescent="0.25">
      <c r="A24" s="77" t="s">
        <v>27</v>
      </c>
      <c r="B24" s="24"/>
      <c r="C24" s="25"/>
    </row>
    <row r="25" spans="1:3" ht="13.5" thickTop="1" thickBot="1" x14ac:dyDescent="0.25">
      <c r="A25" s="59" t="s">
        <v>28</v>
      </c>
      <c r="B25" s="60" t="s">
        <v>29</v>
      </c>
      <c r="C25" s="15">
        <f>(1+C28)/(1+C18)-1</f>
        <v>2.8526829268292753E-2</v>
      </c>
    </row>
    <row r="26" spans="1:3" ht="13.5" thickTop="1" thickBot="1" x14ac:dyDescent="0.25">
      <c r="A26" s="61"/>
      <c r="B26" s="62" t="s">
        <v>36</v>
      </c>
      <c r="C26" s="15">
        <f>(1+C27)/(1+C18)-1</f>
        <v>5.1205574912892127E-2</v>
      </c>
    </row>
    <row r="27" spans="1:3" ht="13.5" thickTop="1" thickBot="1" x14ac:dyDescent="0.25">
      <c r="A27" s="63"/>
      <c r="B27" s="62" t="s">
        <v>30</v>
      </c>
      <c r="C27" s="15">
        <f>C5*C13/C15/(1-C16*(1-C17))+C19*C14/C15</f>
        <v>7.7485714285714297E-2</v>
      </c>
    </row>
    <row r="28" spans="1:3" ht="15" thickTop="1" thickBot="1" x14ac:dyDescent="0.25">
      <c r="A28" s="64"/>
      <c r="B28" s="65" t="s">
        <v>48</v>
      </c>
      <c r="C28" s="16">
        <f>C5*(C13/C15)*((1-C16)/(1-C16*(1-C17)))+((C19)*(C14/C15)*(1-C16))</f>
        <v>5.424000000000001E-2</v>
      </c>
    </row>
    <row r="29" spans="1:3" ht="12.75" thickBot="1" x14ac:dyDescent="0.25">
      <c r="A29" s="56"/>
      <c r="B29" s="56"/>
      <c r="C29" s="66"/>
    </row>
    <row r="30" spans="1:3" ht="12.75" thickBot="1" x14ac:dyDescent="0.25">
      <c r="A30" s="78" t="s">
        <v>31</v>
      </c>
      <c r="B30" s="26"/>
      <c r="C30" s="27"/>
    </row>
    <row r="31" spans="1:3" ht="12.75" thickBot="1" x14ac:dyDescent="0.25">
      <c r="A31" s="67" t="s">
        <v>28</v>
      </c>
      <c r="B31" s="68" t="s">
        <v>32</v>
      </c>
      <c r="C31" s="13">
        <f>C13*C5+C14*(C7+C20)</f>
        <v>6.3600000000000004E-2</v>
      </c>
    </row>
    <row r="32" spans="1:3" ht="13.5" thickTop="1" thickBot="1" x14ac:dyDescent="0.25">
      <c r="A32" s="64"/>
      <c r="B32" s="69" t="s">
        <v>33</v>
      </c>
      <c r="C32" s="14">
        <f>(1+C31)/(1+C18)-1</f>
        <v>3.7658536585366109E-2</v>
      </c>
    </row>
    <row r="33" spans="1:3" x14ac:dyDescent="0.2">
      <c r="B33" s="12"/>
    </row>
    <row r="34" spans="1:3" ht="12.75" thickBot="1" x14ac:dyDescent="0.25"/>
    <row r="35" spans="1:3" ht="12.75" thickBot="1" x14ac:dyDescent="0.25">
      <c r="A35" s="78" t="s">
        <v>55</v>
      </c>
      <c r="B35" s="26"/>
      <c r="C35" s="27"/>
    </row>
    <row r="36" spans="1:3" ht="12.75" thickBot="1" x14ac:dyDescent="0.25">
      <c r="A36" s="67"/>
      <c r="B36" s="68" t="s">
        <v>56</v>
      </c>
      <c r="C36" s="13"/>
    </row>
    <row r="37" spans="1:3" ht="13.5" thickTop="1" thickBot="1" x14ac:dyDescent="0.25">
      <c r="A37" s="64"/>
      <c r="B37" s="69" t="s">
        <v>57</v>
      </c>
      <c r="C37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AE84"/>
  <sheetViews>
    <sheetView tabSelected="1" workbookViewId="0">
      <pane xSplit="8" ySplit="4" topLeftCell="I5" activePane="bottomRight" state="frozen"/>
      <selection activeCell="E4" sqref="E4"/>
      <selection pane="topRight" activeCell="E4" sqref="E4"/>
      <selection pane="bottomLeft" activeCell="E4" sqref="E4"/>
      <selection pane="bottomRight" activeCell="M43" sqref="M43"/>
    </sheetView>
  </sheetViews>
  <sheetFormatPr defaultColWidth="9.33203125" defaultRowHeight="12" x14ac:dyDescent="0.2"/>
  <cols>
    <col min="1" max="2" width="1.6640625" style="1" customWidth="1"/>
    <col min="3" max="3" width="4.6640625" style="1" customWidth="1"/>
    <col min="4" max="4" width="5.6640625" style="1" customWidth="1"/>
    <col min="5" max="5" width="13" style="1" customWidth="1"/>
    <col min="6" max="6" width="8.6640625" style="1" customWidth="1"/>
    <col min="7" max="7" width="12" style="1" bestFit="1" customWidth="1"/>
    <col min="8" max="8" width="6.5" style="1" customWidth="1"/>
    <col min="9" max="9" width="16.33203125" style="1" customWidth="1"/>
    <col min="10" max="29" width="11.1640625" style="1" customWidth="1"/>
    <col min="30" max="30" width="9.33203125" style="1"/>
    <col min="31" max="31" width="12.5" style="1" bestFit="1" customWidth="1"/>
    <col min="32" max="16384" width="9.33203125" style="1"/>
  </cols>
  <sheetData>
    <row r="1" spans="1:30" ht="17.25" x14ac:dyDescent="0.2">
      <c r="A1" s="93" t="s">
        <v>101</v>
      </c>
    </row>
    <row r="2" spans="1:30" ht="21" x14ac:dyDescent="0.35">
      <c r="A2" s="11" t="s">
        <v>59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28.5" customHeight="1" x14ac:dyDescent="0.35">
      <c r="A3" s="3" t="s">
        <v>98</v>
      </c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s="5" customFormat="1" x14ac:dyDescent="0.2">
      <c r="G4" s="30"/>
      <c r="H4" s="28" t="s">
        <v>35</v>
      </c>
      <c r="I4" s="28">
        <v>0</v>
      </c>
      <c r="J4" s="28">
        <v>1</v>
      </c>
      <c r="K4" s="28">
        <v>2</v>
      </c>
      <c r="L4" s="28">
        <v>3</v>
      </c>
      <c r="M4" s="28">
        <v>4</v>
      </c>
      <c r="N4" s="28">
        <v>5</v>
      </c>
      <c r="O4" s="28">
        <v>6</v>
      </c>
      <c r="P4" s="28">
        <v>7</v>
      </c>
      <c r="Q4" s="28">
        <v>8</v>
      </c>
      <c r="R4" s="28">
        <v>9</v>
      </c>
      <c r="S4" s="28">
        <v>10</v>
      </c>
      <c r="T4" s="28">
        <v>11</v>
      </c>
      <c r="U4" s="28">
        <v>12</v>
      </c>
      <c r="V4" s="28">
        <v>13</v>
      </c>
      <c r="W4" s="28">
        <v>14</v>
      </c>
      <c r="X4" s="28">
        <v>15</v>
      </c>
      <c r="Y4" s="28">
        <v>16</v>
      </c>
      <c r="Z4" s="28">
        <v>17</v>
      </c>
      <c r="AA4" s="28">
        <v>18</v>
      </c>
      <c r="AB4" s="28">
        <v>19</v>
      </c>
      <c r="AC4" s="28">
        <v>20</v>
      </c>
    </row>
    <row r="5" spans="1:30" x14ac:dyDescent="0.2">
      <c r="A5" s="6"/>
      <c r="B5" s="6" t="s">
        <v>58</v>
      </c>
      <c r="C5" s="2"/>
      <c r="D5" s="2"/>
      <c r="E5" s="2"/>
      <c r="F5" s="2"/>
      <c r="G5" s="2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">
      <c r="A6" s="6"/>
      <c r="B6" s="6"/>
      <c r="C6" s="2"/>
      <c r="D6" s="2"/>
      <c r="E6" s="2"/>
      <c r="F6" s="2"/>
      <c r="G6" s="2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x14ac:dyDescent="0.2">
      <c r="C7" s="5" t="s">
        <v>62</v>
      </c>
      <c r="G7" s="4"/>
      <c r="I7" s="8"/>
      <c r="J7" s="86">
        <v>2.5000000000000001E-2</v>
      </c>
      <c r="K7" s="86">
        <v>2.5000000000000001E-2</v>
      </c>
      <c r="L7" s="86">
        <v>2.5000000000000001E-2</v>
      </c>
      <c r="M7" s="86">
        <v>2.5000000000000001E-2</v>
      </c>
      <c r="N7" s="86">
        <v>2.5000000000000001E-2</v>
      </c>
      <c r="O7" s="86">
        <v>2.5000000000000001E-2</v>
      </c>
      <c r="P7" s="86">
        <v>2.5000000000000001E-2</v>
      </c>
      <c r="Q7" s="86">
        <v>2.5000000000000001E-2</v>
      </c>
      <c r="R7" s="86">
        <v>2.5000000000000001E-2</v>
      </c>
      <c r="S7" s="86">
        <v>2.5000000000000001E-2</v>
      </c>
      <c r="T7" s="86">
        <v>2.5000000000000001E-2</v>
      </c>
      <c r="U7" s="86">
        <v>2.5000000000000001E-2</v>
      </c>
      <c r="V7" s="86">
        <v>2.5000000000000001E-2</v>
      </c>
      <c r="W7" s="86">
        <v>2.5000000000000001E-2</v>
      </c>
      <c r="X7" s="86">
        <v>2.5000000000000001E-2</v>
      </c>
      <c r="Y7" s="86">
        <v>2.5000000000000001E-2</v>
      </c>
      <c r="Z7" s="86">
        <v>2.5000000000000001E-2</v>
      </c>
      <c r="AA7" s="86">
        <v>2.5000000000000001E-2</v>
      </c>
      <c r="AB7" s="86">
        <v>2.5000000000000001E-2</v>
      </c>
      <c r="AC7" s="86">
        <v>2.5000000000000001E-2</v>
      </c>
    </row>
    <row r="8" spans="1:30" x14ac:dyDescent="0.2">
      <c r="C8" s="5"/>
      <c r="G8" s="4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x14ac:dyDescent="0.2">
      <c r="C9" s="5" t="s">
        <v>91</v>
      </c>
      <c r="G9" s="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x14ac:dyDescent="0.2">
      <c r="C10" s="5"/>
      <c r="D10" s="1" t="s">
        <v>74</v>
      </c>
      <c r="G10" s="4"/>
      <c r="H10" s="9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x14ac:dyDescent="0.2">
      <c r="C11" s="5"/>
      <c r="E11" s="1" t="s">
        <v>75</v>
      </c>
      <c r="G11" s="4"/>
      <c r="H11" s="9"/>
      <c r="I11" s="82">
        <v>1070987.5737464163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x14ac:dyDescent="0.2">
      <c r="C12" s="5"/>
      <c r="E12" s="1" t="s">
        <v>99</v>
      </c>
      <c r="G12" s="4"/>
      <c r="H12" s="9"/>
      <c r="I12" s="84">
        <v>1.03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x14ac:dyDescent="0.2">
      <c r="C13" s="5"/>
      <c r="E13" s="1" t="s">
        <v>76</v>
      </c>
      <c r="G13" s="4"/>
      <c r="H13" s="9"/>
      <c r="I13" s="84">
        <v>1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x14ac:dyDescent="0.2">
      <c r="C14" s="5"/>
      <c r="E14" s="1" t="s">
        <v>92</v>
      </c>
      <c r="G14" s="4"/>
      <c r="H14" s="9"/>
      <c r="I14" s="85">
        <f>I11*I12*I13</f>
        <v>1103117.2009588089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x14ac:dyDescent="0.2">
      <c r="E15" s="32" t="s">
        <v>64</v>
      </c>
      <c r="G15" s="4"/>
      <c r="H15" s="9"/>
      <c r="I15" s="9"/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6">
        <v>0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0</v>
      </c>
      <c r="Y15" s="86">
        <v>0</v>
      </c>
      <c r="Z15" s="86">
        <v>0</v>
      </c>
      <c r="AA15" s="86">
        <v>0</v>
      </c>
      <c r="AB15" s="86">
        <v>0</v>
      </c>
      <c r="AC15" s="86">
        <v>0</v>
      </c>
    </row>
    <row r="16" spans="1:30" x14ac:dyDescent="0.2">
      <c r="E16" s="1" t="s">
        <v>65</v>
      </c>
      <c r="G16" s="4"/>
      <c r="H16" s="9"/>
      <c r="I16" s="7"/>
      <c r="J16" s="88">
        <v>60</v>
      </c>
      <c r="K16" s="87">
        <f>J16-1</f>
        <v>59</v>
      </c>
      <c r="L16" s="87">
        <f t="shared" ref="L16:AC16" si="0">K16-1</f>
        <v>58</v>
      </c>
      <c r="M16" s="87">
        <f t="shared" si="0"/>
        <v>57</v>
      </c>
      <c r="N16" s="87">
        <f t="shared" si="0"/>
        <v>56</v>
      </c>
      <c r="O16" s="87">
        <f t="shared" si="0"/>
        <v>55</v>
      </c>
      <c r="P16" s="87">
        <f t="shared" si="0"/>
        <v>54</v>
      </c>
      <c r="Q16" s="87">
        <f t="shared" si="0"/>
        <v>53</v>
      </c>
      <c r="R16" s="87">
        <f t="shared" si="0"/>
        <v>52</v>
      </c>
      <c r="S16" s="87">
        <f t="shared" si="0"/>
        <v>51</v>
      </c>
      <c r="T16" s="87">
        <f t="shared" si="0"/>
        <v>50</v>
      </c>
      <c r="U16" s="87">
        <f t="shared" si="0"/>
        <v>49</v>
      </c>
      <c r="V16" s="87">
        <f t="shared" si="0"/>
        <v>48</v>
      </c>
      <c r="W16" s="87">
        <f t="shared" si="0"/>
        <v>47</v>
      </c>
      <c r="X16" s="87">
        <f t="shared" si="0"/>
        <v>46</v>
      </c>
      <c r="Y16" s="87">
        <f t="shared" si="0"/>
        <v>45</v>
      </c>
      <c r="Z16" s="87">
        <f t="shared" si="0"/>
        <v>44</v>
      </c>
      <c r="AA16" s="87">
        <f t="shared" si="0"/>
        <v>43</v>
      </c>
      <c r="AB16" s="87">
        <f t="shared" si="0"/>
        <v>42</v>
      </c>
      <c r="AC16" s="87">
        <f t="shared" si="0"/>
        <v>41</v>
      </c>
    </row>
    <row r="17" spans="3:30" x14ac:dyDescent="0.2">
      <c r="E17" s="5" t="s">
        <v>1</v>
      </c>
      <c r="G17" s="4"/>
      <c r="H17" s="9"/>
      <c r="I17" s="85">
        <f>I14</f>
        <v>1103117.2009588089</v>
      </c>
      <c r="J17" s="85">
        <f>I17*(1+J7)*(1+J15)*(1-1/J16)</f>
        <v>1111850.212133066</v>
      </c>
      <c r="K17" s="85">
        <f t="shared" ref="K17:AC17" si="1">J17*(1+K7)*(1+K15)*(1-1/K16)</f>
        <v>1120330.4256154369</v>
      </c>
      <c r="L17" s="85">
        <f t="shared" si="1"/>
        <v>1128539.7433893429</v>
      </c>
      <c r="M17" s="85">
        <f t="shared" si="1"/>
        <v>1136459.3205359345</v>
      </c>
      <c r="N17" s="85">
        <f>M17*(1+N7)*(1+N15)*(1-1/N16)</f>
        <v>1144069.5392002375</v>
      </c>
      <c r="O17" s="85">
        <f t="shared" si="1"/>
        <v>1151349.9817224208</v>
      </c>
      <c r="P17" s="85">
        <f t="shared" si="1"/>
        <v>1158279.4029087129</v>
      </c>
      <c r="Q17" s="85">
        <f t="shared" si="1"/>
        <v>1164835.7014157432</v>
      </c>
      <c r="R17" s="85">
        <f t="shared" si="1"/>
        <v>1170995.8902213073</v>
      </c>
      <c r="S17" s="85">
        <f t="shared" si="1"/>
        <v>1176736.0661537647</v>
      </c>
      <c r="T17" s="85">
        <f t="shared" si="1"/>
        <v>1182031.3784514565</v>
      </c>
      <c r="U17" s="85">
        <f t="shared" si="1"/>
        <v>1186855.996322687</v>
      </c>
      <c r="V17" s="85">
        <f t="shared" si="1"/>
        <v>1191183.0754759465</v>
      </c>
      <c r="W17" s="85">
        <f t="shared" si="1"/>
        <v>1194984.7235891675</v>
      </c>
      <c r="X17" s="85">
        <f t="shared" si="1"/>
        <v>1198231.9646858771</v>
      </c>
      <c r="Y17" s="85">
        <f t="shared" si="1"/>
        <v>1200894.7023851788</v>
      </c>
      <c r="Z17" s="85">
        <f t="shared" si="1"/>
        <v>1202941.6819915168</v>
      </c>
      <c r="AA17" s="85">
        <f t="shared" si="1"/>
        <v>1204340.4513891812</v>
      </c>
      <c r="AB17" s="85">
        <f t="shared" si="1"/>
        <v>1205057.3207054841</v>
      </c>
      <c r="AC17" s="85">
        <f t="shared" si="1"/>
        <v>1205057.3207054839</v>
      </c>
    </row>
    <row r="18" spans="3:30" x14ac:dyDescent="0.2">
      <c r="C18" s="5"/>
      <c r="D18" s="1" t="s">
        <v>73</v>
      </c>
      <c r="G18" s="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3:30" x14ac:dyDescent="0.2">
      <c r="E19" s="1" t="s">
        <v>100</v>
      </c>
      <c r="G19" s="4"/>
      <c r="I19" s="82">
        <v>552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3:30" x14ac:dyDescent="0.2">
      <c r="E20" s="1" t="s">
        <v>60</v>
      </c>
      <c r="G20" s="4"/>
      <c r="I20" s="83">
        <v>540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3:30" x14ac:dyDescent="0.2">
      <c r="E21" s="32" t="s">
        <v>93</v>
      </c>
      <c r="G21" s="4"/>
      <c r="I21" s="85">
        <f>I20*I19</f>
        <v>298080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3:30" x14ac:dyDescent="0.2">
      <c r="E22" s="32" t="s">
        <v>63</v>
      </c>
      <c r="G22" s="4"/>
      <c r="I22" s="8"/>
      <c r="J22" s="86">
        <f t="shared" ref="J22:AC22" si="2">1.05/1.025-1</f>
        <v>2.4390243902439046E-2</v>
      </c>
      <c r="K22" s="86">
        <f t="shared" si="2"/>
        <v>2.4390243902439046E-2</v>
      </c>
      <c r="L22" s="86">
        <f t="shared" si="2"/>
        <v>2.4390243902439046E-2</v>
      </c>
      <c r="M22" s="86">
        <f t="shared" si="2"/>
        <v>2.4390243902439046E-2</v>
      </c>
      <c r="N22" s="86">
        <f t="shared" si="2"/>
        <v>2.4390243902439046E-2</v>
      </c>
      <c r="O22" s="86">
        <f t="shared" si="2"/>
        <v>2.4390243902439046E-2</v>
      </c>
      <c r="P22" s="86">
        <f t="shared" si="2"/>
        <v>2.4390243902439046E-2</v>
      </c>
      <c r="Q22" s="86">
        <f t="shared" si="2"/>
        <v>2.4390243902439046E-2</v>
      </c>
      <c r="R22" s="86">
        <f t="shared" si="2"/>
        <v>2.4390243902439046E-2</v>
      </c>
      <c r="S22" s="86">
        <f t="shared" si="2"/>
        <v>2.4390243902439046E-2</v>
      </c>
      <c r="T22" s="86">
        <f t="shared" si="2"/>
        <v>2.4390243902439046E-2</v>
      </c>
      <c r="U22" s="86">
        <f t="shared" si="2"/>
        <v>2.4390243902439046E-2</v>
      </c>
      <c r="V22" s="86">
        <f t="shared" si="2"/>
        <v>2.4390243902439046E-2</v>
      </c>
      <c r="W22" s="86">
        <f t="shared" si="2"/>
        <v>2.4390243902439046E-2</v>
      </c>
      <c r="X22" s="86">
        <f t="shared" si="2"/>
        <v>2.4390243902439046E-2</v>
      </c>
      <c r="Y22" s="86">
        <f t="shared" si="2"/>
        <v>2.4390243902439046E-2</v>
      </c>
      <c r="Z22" s="86">
        <f t="shared" si="2"/>
        <v>2.4390243902439046E-2</v>
      </c>
      <c r="AA22" s="86">
        <f t="shared" si="2"/>
        <v>2.4390243902439046E-2</v>
      </c>
      <c r="AB22" s="86">
        <f t="shared" si="2"/>
        <v>2.4390243902439046E-2</v>
      </c>
      <c r="AC22" s="86">
        <f t="shared" si="2"/>
        <v>2.4390243902439046E-2</v>
      </c>
    </row>
    <row r="23" spans="3:30" x14ac:dyDescent="0.2">
      <c r="E23" s="5" t="s">
        <v>0</v>
      </c>
      <c r="G23" s="4"/>
      <c r="I23" s="85">
        <f>I21</f>
        <v>298080</v>
      </c>
      <c r="J23" s="85">
        <f>I23*(1+J7)*(1+J22)</f>
        <v>312984</v>
      </c>
      <c r="K23" s="85">
        <f t="shared" ref="K23:AC23" si="3">J23*(1+K7)*(1+K22)</f>
        <v>328633.2</v>
      </c>
      <c r="L23" s="85">
        <f t="shared" si="3"/>
        <v>345064.86</v>
      </c>
      <c r="M23" s="85">
        <f t="shared" si="3"/>
        <v>362318.10299999994</v>
      </c>
      <c r="N23" s="85">
        <f t="shared" si="3"/>
        <v>380434.00814999989</v>
      </c>
      <c r="O23" s="85">
        <f t="shared" si="3"/>
        <v>399455.70855749986</v>
      </c>
      <c r="P23" s="85">
        <f t="shared" si="3"/>
        <v>419428.49398537481</v>
      </c>
      <c r="Q23" s="85">
        <f t="shared" si="3"/>
        <v>440399.91868464352</v>
      </c>
      <c r="R23" s="85">
        <f t="shared" si="3"/>
        <v>462419.91461887566</v>
      </c>
      <c r="S23" s="85">
        <f t="shared" si="3"/>
        <v>485540.9103498194</v>
      </c>
      <c r="T23" s="85">
        <f t="shared" si="3"/>
        <v>509817.95586731029</v>
      </c>
      <c r="U23" s="85">
        <f t="shared" si="3"/>
        <v>535308.85366067581</v>
      </c>
      <c r="V23" s="85">
        <f t="shared" si="3"/>
        <v>562074.29634370958</v>
      </c>
      <c r="W23" s="85">
        <f t="shared" si="3"/>
        <v>590178.011160895</v>
      </c>
      <c r="X23" s="85">
        <f t="shared" si="3"/>
        <v>619686.91171893966</v>
      </c>
      <c r="Y23" s="85">
        <f t="shared" si="3"/>
        <v>650671.25730488659</v>
      </c>
      <c r="Z23" s="85">
        <f t="shared" si="3"/>
        <v>683204.82017013093</v>
      </c>
      <c r="AA23" s="85">
        <f t="shared" si="3"/>
        <v>717365.06117863744</v>
      </c>
      <c r="AB23" s="85">
        <f t="shared" si="3"/>
        <v>753233.31423756923</v>
      </c>
      <c r="AC23" s="85">
        <f t="shared" si="3"/>
        <v>790894.97994944768</v>
      </c>
    </row>
    <row r="24" spans="3:30" x14ac:dyDescent="0.2">
      <c r="D24" s="5" t="s">
        <v>72</v>
      </c>
      <c r="G24" s="4"/>
      <c r="H24" s="9"/>
      <c r="I24" s="85">
        <f>I23+I17</f>
        <v>1401197.2009588089</v>
      </c>
      <c r="J24" s="85">
        <f t="shared" ref="J24:AC24" si="4">J23+J17</f>
        <v>1424834.212133066</v>
      </c>
      <c r="K24" s="85">
        <f t="shared" si="4"/>
        <v>1448963.6256154368</v>
      </c>
      <c r="L24" s="85">
        <f t="shared" si="4"/>
        <v>1473604.6033893428</v>
      </c>
      <c r="M24" s="85">
        <f t="shared" si="4"/>
        <v>1498777.4235359344</v>
      </c>
      <c r="N24" s="85">
        <f t="shared" si="4"/>
        <v>1524503.5473502374</v>
      </c>
      <c r="O24" s="85">
        <f t="shared" si="4"/>
        <v>1550805.6902799206</v>
      </c>
      <c r="P24" s="85">
        <f t="shared" si="4"/>
        <v>1577707.8968940875</v>
      </c>
      <c r="Q24" s="85">
        <f t="shared" si="4"/>
        <v>1605235.6201003867</v>
      </c>
      <c r="R24" s="85">
        <f t="shared" si="4"/>
        <v>1633415.8048401829</v>
      </c>
      <c r="S24" s="85">
        <f t="shared" si="4"/>
        <v>1662276.9765035841</v>
      </c>
      <c r="T24" s="85">
        <f t="shared" si="4"/>
        <v>1691849.3343187668</v>
      </c>
      <c r="U24" s="85">
        <f t="shared" si="4"/>
        <v>1722164.8499833629</v>
      </c>
      <c r="V24" s="85">
        <f t="shared" si="4"/>
        <v>1753257.3718196561</v>
      </c>
      <c r="W24" s="85">
        <f t="shared" si="4"/>
        <v>1785162.7347500625</v>
      </c>
      <c r="X24" s="85">
        <f t="shared" si="4"/>
        <v>1817918.8764048168</v>
      </c>
      <c r="Y24" s="85">
        <f t="shared" si="4"/>
        <v>1851565.9596900654</v>
      </c>
      <c r="Z24" s="85">
        <f t="shared" si="4"/>
        <v>1886146.5021616477</v>
      </c>
      <c r="AA24" s="85">
        <f t="shared" si="4"/>
        <v>1921705.5125678186</v>
      </c>
      <c r="AB24" s="85">
        <f t="shared" si="4"/>
        <v>1958290.6349430534</v>
      </c>
      <c r="AC24" s="85">
        <f t="shared" si="4"/>
        <v>1995952.3006549315</v>
      </c>
    </row>
    <row r="25" spans="3:30" x14ac:dyDescent="0.2">
      <c r="G25" s="4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3:30" x14ac:dyDescent="0.2">
      <c r="D26" s="5" t="s">
        <v>94</v>
      </c>
      <c r="G26" s="4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3:30" x14ac:dyDescent="0.2">
      <c r="C27" s="5"/>
      <c r="E27" s="1" t="s">
        <v>75</v>
      </c>
      <c r="G27" s="4"/>
      <c r="H27" s="9"/>
      <c r="I27" s="82">
        <v>625833.15062714589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3:30" x14ac:dyDescent="0.2">
      <c r="C28" s="5"/>
      <c r="E28" s="1" t="s">
        <v>61</v>
      </c>
      <c r="G28" s="4"/>
      <c r="H28" s="9"/>
      <c r="I28" s="84">
        <v>1.03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3:30" x14ac:dyDescent="0.2">
      <c r="C29" s="5"/>
      <c r="E29" s="1" t="s">
        <v>76</v>
      </c>
      <c r="G29" s="4"/>
      <c r="H29" s="9"/>
      <c r="I29" s="84">
        <v>1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3:30" x14ac:dyDescent="0.2">
      <c r="C30" s="5"/>
      <c r="E30" s="1" t="s">
        <v>92</v>
      </c>
      <c r="G30" s="4"/>
      <c r="H30" s="9"/>
      <c r="I30" s="85">
        <f>I27*I28</f>
        <v>644608.14514596027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3:30" x14ac:dyDescent="0.2">
      <c r="E31" s="32" t="s">
        <v>64</v>
      </c>
      <c r="G31" s="4"/>
      <c r="H31" s="9"/>
      <c r="I31" s="9"/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6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</row>
    <row r="32" spans="3:30" x14ac:dyDescent="0.2">
      <c r="E32" s="1" t="s">
        <v>65</v>
      </c>
      <c r="G32" s="4"/>
      <c r="H32" s="9"/>
      <c r="I32" s="7"/>
      <c r="J32" s="88">
        <v>60</v>
      </c>
      <c r="K32" s="87">
        <f>J32-1</f>
        <v>59</v>
      </c>
      <c r="L32" s="87">
        <f t="shared" ref="L32:AC32" si="5">K32-1</f>
        <v>58</v>
      </c>
      <c r="M32" s="87">
        <f t="shared" si="5"/>
        <v>57</v>
      </c>
      <c r="N32" s="87">
        <f t="shared" si="5"/>
        <v>56</v>
      </c>
      <c r="O32" s="87">
        <f t="shared" si="5"/>
        <v>55</v>
      </c>
      <c r="P32" s="87">
        <f t="shared" si="5"/>
        <v>54</v>
      </c>
      <c r="Q32" s="87">
        <f t="shared" si="5"/>
        <v>53</v>
      </c>
      <c r="R32" s="87">
        <f t="shared" si="5"/>
        <v>52</v>
      </c>
      <c r="S32" s="87">
        <f t="shared" si="5"/>
        <v>51</v>
      </c>
      <c r="T32" s="87">
        <f t="shared" si="5"/>
        <v>50</v>
      </c>
      <c r="U32" s="87">
        <f t="shared" si="5"/>
        <v>49</v>
      </c>
      <c r="V32" s="87">
        <f t="shared" si="5"/>
        <v>48</v>
      </c>
      <c r="W32" s="87">
        <f t="shared" si="5"/>
        <v>47</v>
      </c>
      <c r="X32" s="87">
        <f t="shared" si="5"/>
        <v>46</v>
      </c>
      <c r="Y32" s="87">
        <f t="shared" si="5"/>
        <v>45</v>
      </c>
      <c r="Z32" s="87">
        <f t="shared" si="5"/>
        <v>44</v>
      </c>
      <c r="AA32" s="87">
        <f t="shared" si="5"/>
        <v>43</v>
      </c>
      <c r="AB32" s="87">
        <f t="shared" si="5"/>
        <v>42</v>
      </c>
      <c r="AC32" s="87">
        <f t="shared" si="5"/>
        <v>41</v>
      </c>
    </row>
    <row r="33" spans="3:30" x14ac:dyDescent="0.2">
      <c r="E33" s="1" t="s">
        <v>1</v>
      </c>
      <c r="G33" s="4"/>
      <c r="H33" s="9"/>
      <c r="I33" s="85">
        <f>I30</f>
        <v>644608.14514596027</v>
      </c>
      <c r="J33" s="85">
        <f>I33*(1+J7)*(1+J31)*(1-1/J32)</f>
        <v>649711.29296169907</v>
      </c>
      <c r="K33" s="85">
        <f t="shared" ref="K33:AC33" si="6">J33*(1+K7)*(1+K31)*(1-1/K32)</f>
        <v>654666.71807750862</v>
      </c>
      <c r="L33" s="85">
        <f t="shared" si="6"/>
        <v>659463.84489100752</v>
      </c>
      <c r="M33" s="85">
        <f t="shared" si="6"/>
        <v>664091.66134638293</v>
      </c>
      <c r="N33" s="85">
        <f t="shared" si="6"/>
        <v>668538.70372147032</v>
      </c>
      <c r="O33" s="85">
        <f t="shared" si="6"/>
        <v>672793.04092697054</v>
      </c>
      <c r="P33" s="85">
        <f t="shared" si="6"/>
        <v>676842.25830291992</v>
      </c>
      <c r="Q33" s="85">
        <f t="shared" si="6"/>
        <v>680673.44089708733</v>
      </c>
      <c r="R33" s="85">
        <f t="shared" si="6"/>
        <v>684273.15620952367</v>
      </c>
      <c r="S33" s="85">
        <f t="shared" si="6"/>
        <v>687627.43638702133</v>
      </c>
      <c r="T33" s="85">
        <f t="shared" si="6"/>
        <v>690721.75985076278</v>
      </c>
      <c r="U33" s="85">
        <f t="shared" si="6"/>
        <v>693541.03233994951</v>
      </c>
      <c r="V33" s="85">
        <f t="shared" si="6"/>
        <v>696069.56735368888</v>
      </c>
      <c r="W33" s="85">
        <f t="shared" si="6"/>
        <v>698291.0659729027</v>
      </c>
      <c r="X33" s="85">
        <f t="shared" si="6"/>
        <v>700188.59604348114</v>
      </c>
      <c r="Y33" s="85">
        <f t="shared" si="6"/>
        <v>701744.57070135546</v>
      </c>
      <c r="Z33" s="85">
        <f t="shared" si="6"/>
        <v>702940.72621959646</v>
      </c>
      <c r="AA33" s="85">
        <f t="shared" si="6"/>
        <v>703758.09915706096</v>
      </c>
      <c r="AB33" s="85">
        <f t="shared" si="6"/>
        <v>704177.00278751156</v>
      </c>
      <c r="AC33" s="85">
        <f t="shared" si="6"/>
        <v>704177.00278751156</v>
      </c>
    </row>
    <row r="34" spans="3:30" x14ac:dyDescent="0.2">
      <c r="G34" s="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3:30" x14ac:dyDescent="0.2">
      <c r="C35" s="5" t="s">
        <v>4</v>
      </c>
      <c r="G35" s="4"/>
    </row>
    <row r="36" spans="3:30" x14ac:dyDescent="0.2">
      <c r="D36" s="1" t="s">
        <v>74</v>
      </c>
      <c r="G36" s="4"/>
      <c r="H36" s="9"/>
      <c r="I36" s="85">
        <f>I14</f>
        <v>1103117.2009588089</v>
      </c>
    </row>
    <row r="37" spans="3:30" x14ac:dyDescent="0.2">
      <c r="C37" s="5"/>
      <c r="D37" s="1" t="s">
        <v>73</v>
      </c>
      <c r="G37" s="4"/>
      <c r="I37" s="85">
        <f>I23</f>
        <v>298080</v>
      </c>
    </row>
    <row r="38" spans="3:30" x14ac:dyDescent="0.2">
      <c r="D38" s="1" t="s">
        <v>77</v>
      </c>
      <c r="G38" s="4"/>
      <c r="I38" s="85">
        <f>I37+I36</f>
        <v>1401197.2009588089</v>
      </c>
    </row>
    <row r="39" spans="3:30" x14ac:dyDescent="0.2">
      <c r="D39" s="5" t="s">
        <v>69</v>
      </c>
      <c r="G39" s="91">
        <f>I38</f>
        <v>1401197.2009588089</v>
      </c>
    </row>
    <row r="40" spans="3:30" x14ac:dyDescent="0.2">
      <c r="G40" s="4"/>
      <c r="I40" s="89"/>
    </row>
    <row r="41" spans="3:30" x14ac:dyDescent="0.2">
      <c r="C41" s="5" t="s">
        <v>3</v>
      </c>
      <c r="G41" s="4"/>
      <c r="I41" s="7"/>
    </row>
    <row r="42" spans="3:30" x14ac:dyDescent="0.2">
      <c r="D42" s="1" t="s">
        <v>0</v>
      </c>
      <c r="G42" s="4"/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5">
        <f>AC23</f>
        <v>790894.97994944768</v>
      </c>
    </row>
    <row r="43" spans="3:30" x14ac:dyDescent="0.2">
      <c r="D43" s="1" t="s">
        <v>1</v>
      </c>
      <c r="G43" s="4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5">
        <f>AC17</f>
        <v>1205057.3207054839</v>
      </c>
    </row>
    <row r="44" spans="3:30" x14ac:dyDescent="0.2">
      <c r="D44" s="1" t="s">
        <v>95</v>
      </c>
      <c r="G44" s="4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5">
        <f>AC33</f>
        <v>704177.00278751156</v>
      </c>
    </row>
    <row r="45" spans="3:30" x14ac:dyDescent="0.2">
      <c r="C45" s="5"/>
      <c r="D45" s="1" t="s">
        <v>80</v>
      </c>
      <c r="G45" s="4"/>
      <c r="H45" s="86">
        <v>0.35</v>
      </c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3:30" x14ac:dyDescent="0.2">
      <c r="C46" s="5"/>
      <c r="D46" s="1" t="s">
        <v>79</v>
      </c>
      <c r="G46" s="4"/>
      <c r="H46" s="86">
        <v>7.2999999999999995E-2</v>
      </c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3:30" x14ac:dyDescent="0.2">
      <c r="D47" s="1" t="s">
        <v>5</v>
      </c>
      <c r="H47" s="9"/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5">
        <f>(AC42+AC44*(1-H45))*(1-H46)</f>
        <v>1157461.4994427531</v>
      </c>
    </row>
    <row r="48" spans="3:30" x14ac:dyDescent="0.2">
      <c r="D48" s="5" t="s">
        <v>78</v>
      </c>
      <c r="G48" s="91">
        <f>AC47/(1+NATDiscRate)^20</f>
        <v>402454.46495779353</v>
      </c>
      <c r="H48" s="9"/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0"/>
    </row>
    <row r="49" spans="3:29" x14ac:dyDescent="0.2">
      <c r="D49" s="5"/>
      <c r="H49" s="9"/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0"/>
    </row>
    <row r="50" spans="3:29" x14ac:dyDescent="0.2">
      <c r="C50" s="5" t="s">
        <v>2</v>
      </c>
      <c r="G50" s="4"/>
      <c r="I50" s="79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3:29" x14ac:dyDescent="0.2">
      <c r="C51" s="5"/>
      <c r="D51" s="1" t="s">
        <v>66</v>
      </c>
      <c r="G51" s="4"/>
      <c r="I51" s="82">
        <v>29500</v>
      </c>
    </row>
    <row r="52" spans="3:29" x14ac:dyDescent="0.2">
      <c r="C52" s="5"/>
      <c r="D52" s="1" t="s">
        <v>67</v>
      </c>
      <c r="G52" s="4"/>
      <c r="I52" s="82">
        <f>1000/3</f>
        <v>333.33333333333331</v>
      </c>
    </row>
    <row r="53" spans="3:29" x14ac:dyDescent="0.2">
      <c r="C53" s="5"/>
      <c r="D53" s="1" t="s">
        <v>68</v>
      </c>
      <c r="G53" s="4"/>
      <c r="H53" s="86">
        <v>4.0000000000000001E-3</v>
      </c>
      <c r="I53" s="85">
        <f>H53*I38</f>
        <v>5604.7888038352357</v>
      </c>
    </row>
    <row r="54" spans="3:29" x14ac:dyDescent="0.2">
      <c r="D54" s="1" t="s">
        <v>72</v>
      </c>
      <c r="I54" s="85">
        <f>SUM(I51:I53)</f>
        <v>35438.122137168568</v>
      </c>
    </row>
    <row r="56" spans="3:29" x14ac:dyDescent="0.2">
      <c r="D56" s="1" t="s">
        <v>70</v>
      </c>
      <c r="I56" s="10"/>
      <c r="J56" s="85">
        <f>I54*(1+J7)</f>
        <v>36324.075190597781</v>
      </c>
      <c r="K56" s="85">
        <f t="shared" ref="K56:AC56" si="7">J56*(1+K7)</f>
        <v>37232.177070362726</v>
      </c>
      <c r="L56" s="85">
        <f t="shared" si="7"/>
        <v>38162.981497121793</v>
      </c>
      <c r="M56" s="85">
        <f t="shared" si="7"/>
        <v>39117.056034549838</v>
      </c>
      <c r="N56" s="85">
        <f t="shared" si="7"/>
        <v>40094.982435413578</v>
      </c>
      <c r="O56" s="85">
        <f t="shared" si="7"/>
        <v>41097.356996298913</v>
      </c>
      <c r="P56" s="85">
        <f t="shared" si="7"/>
        <v>42124.790921206382</v>
      </c>
      <c r="Q56" s="85">
        <f t="shared" si="7"/>
        <v>43177.91069423654</v>
      </c>
      <c r="R56" s="85">
        <f t="shared" si="7"/>
        <v>44257.358461592448</v>
      </c>
      <c r="S56" s="85">
        <f t="shared" si="7"/>
        <v>45363.792423132254</v>
      </c>
      <c r="T56" s="85">
        <f t="shared" si="7"/>
        <v>46497.887233710557</v>
      </c>
      <c r="U56" s="85">
        <f t="shared" si="7"/>
        <v>47660.334414553319</v>
      </c>
      <c r="V56" s="85">
        <f t="shared" si="7"/>
        <v>48851.842774917146</v>
      </c>
      <c r="W56" s="85">
        <f t="shared" si="7"/>
        <v>50073.138844290072</v>
      </c>
      <c r="X56" s="85">
        <f t="shared" si="7"/>
        <v>51324.96731539732</v>
      </c>
      <c r="Y56" s="85">
        <f t="shared" si="7"/>
        <v>52608.091498282251</v>
      </c>
      <c r="Z56" s="85">
        <f t="shared" si="7"/>
        <v>53923.293785739304</v>
      </c>
      <c r="AA56" s="85">
        <f t="shared" si="7"/>
        <v>55271.376130382785</v>
      </c>
      <c r="AB56" s="85">
        <f t="shared" si="7"/>
        <v>56653.160533642353</v>
      </c>
      <c r="AC56" s="85">
        <f t="shared" si="7"/>
        <v>58069.489546983408</v>
      </c>
    </row>
    <row r="57" spans="3:29" x14ac:dyDescent="0.2">
      <c r="D57" s="5" t="s">
        <v>71</v>
      </c>
      <c r="G57" s="91">
        <f>NPV(NATDiscRate,J56:AC56)</f>
        <v>534482.97854958207</v>
      </c>
      <c r="I57" s="1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</row>
    <row r="58" spans="3:29" x14ac:dyDescent="0.2">
      <c r="G58" s="4"/>
      <c r="I58" s="1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</row>
    <row r="59" spans="3:29" x14ac:dyDescent="0.2">
      <c r="H59" s="9"/>
      <c r="I59" s="7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</row>
    <row r="60" spans="3:29" x14ac:dyDescent="0.2">
      <c r="C60" s="5" t="s">
        <v>50</v>
      </c>
      <c r="G60" s="4"/>
    </row>
    <row r="61" spans="3:29" x14ac:dyDescent="0.2">
      <c r="C61" s="5"/>
      <c r="D61" s="1" t="s">
        <v>81</v>
      </c>
      <c r="G61" s="4"/>
      <c r="I61" s="83">
        <v>3</v>
      </c>
    </row>
    <row r="62" spans="3:29" x14ac:dyDescent="0.2">
      <c r="C62" s="5"/>
      <c r="D62" s="1" t="s">
        <v>82</v>
      </c>
      <c r="G62" s="4"/>
      <c r="I62" s="86">
        <v>7.4999999999999997E-2</v>
      </c>
    </row>
    <row r="63" spans="3:29" x14ac:dyDescent="0.2">
      <c r="C63" s="5"/>
      <c r="D63" s="1" t="s">
        <v>84</v>
      </c>
      <c r="G63" s="4"/>
      <c r="I63" s="82">
        <v>8580</v>
      </c>
    </row>
    <row r="64" spans="3:29" x14ac:dyDescent="0.2">
      <c r="C64" s="5"/>
      <c r="D64" s="1" t="s">
        <v>85</v>
      </c>
      <c r="G64" s="4"/>
      <c r="I64" s="85">
        <f>I63*I61*(1-I62)</f>
        <v>23809.5</v>
      </c>
    </row>
    <row r="65" spans="3:31" x14ac:dyDescent="0.2">
      <c r="C65" s="5"/>
      <c r="G65" s="4"/>
      <c r="H65" s="4"/>
      <c r="I65" s="4"/>
    </row>
    <row r="66" spans="3:31" x14ac:dyDescent="0.2">
      <c r="C66" s="5"/>
      <c r="D66" s="1" t="s">
        <v>83</v>
      </c>
      <c r="G66" s="4"/>
      <c r="I66" s="4"/>
      <c r="J66" s="86">
        <v>0</v>
      </c>
      <c r="K66" s="86">
        <v>0</v>
      </c>
      <c r="L66" s="86">
        <v>0</v>
      </c>
      <c r="M66" s="86">
        <v>0</v>
      </c>
      <c r="N66" s="86">
        <v>0</v>
      </c>
      <c r="O66" s="86">
        <v>0</v>
      </c>
      <c r="P66" s="86">
        <v>0</v>
      </c>
      <c r="Q66" s="86">
        <v>0</v>
      </c>
      <c r="R66" s="86">
        <v>0</v>
      </c>
      <c r="S66" s="86">
        <v>0</v>
      </c>
      <c r="T66" s="86">
        <v>0</v>
      </c>
      <c r="U66" s="86">
        <v>0</v>
      </c>
      <c r="V66" s="86">
        <v>0</v>
      </c>
      <c r="W66" s="86">
        <v>0</v>
      </c>
      <c r="X66" s="86">
        <v>0</v>
      </c>
      <c r="Y66" s="86">
        <v>0</v>
      </c>
      <c r="Z66" s="86">
        <v>0</v>
      </c>
      <c r="AA66" s="86">
        <v>0</v>
      </c>
      <c r="AB66" s="86">
        <v>0</v>
      </c>
      <c r="AC66" s="86">
        <v>0</v>
      </c>
    </row>
    <row r="67" spans="3:31" x14ac:dyDescent="0.2">
      <c r="C67" s="5"/>
      <c r="D67" s="1" t="s">
        <v>86</v>
      </c>
      <c r="G67" s="4"/>
      <c r="I67" s="4"/>
      <c r="J67" s="85">
        <f>I64*(1+J7)*(1+J66)</f>
        <v>24404.737499999999</v>
      </c>
      <c r="K67" s="85">
        <f t="shared" ref="K67:AC67" si="8">J67*(1+K7)*(1+K66)</f>
        <v>25014.855937499997</v>
      </c>
      <c r="L67" s="85">
        <f t="shared" si="8"/>
        <v>25640.227335937496</v>
      </c>
      <c r="M67" s="85">
        <f t="shared" si="8"/>
        <v>26281.23301933593</v>
      </c>
      <c r="N67" s="85">
        <f t="shared" si="8"/>
        <v>26938.263844819325</v>
      </c>
      <c r="O67" s="85">
        <f t="shared" si="8"/>
        <v>27611.720440939804</v>
      </c>
      <c r="P67" s="85">
        <f t="shared" si="8"/>
        <v>28302.013451963296</v>
      </c>
      <c r="Q67" s="85">
        <f t="shared" si="8"/>
        <v>29009.563788262374</v>
      </c>
      <c r="R67" s="85">
        <f t="shared" si="8"/>
        <v>29734.802882968932</v>
      </c>
      <c r="S67" s="85">
        <f t="shared" si="8"/>
        <v>30478.172955043152</v>
      </c>
      <c r="T67" s="85">
        <f t="shared" si="8"/>
        <v>31240.127278919226</v>
      </c>
      <c r="U67" s="85">
        <f t="shared" si="8"/>
        <v>32021.130460892204</v>
      </c>
      <c r="V67" s="85">
        <f t="shared" si="8"/>
        <v>32821.658722414504</v>
      </c>
      <c r="W67" s="85">
        <f t="shared" si="8"/>
        <v>33642.200190474861</v>
      </c>
      <c r="X67" s="85">
        <f t="shared" si="8"/>
        <v>34483.255195236728</v>
      </c>
      <c r="Y67" s="85">
        <f t="shared" si="8"/>
        <v>35345.336575117646</v>
      </c>
      <c r="Z67" s="85">
        <f t="shared" si="8"/>
        <v>36228.969989495585</v>
      </c>
      <c r="AA67" s="85">
        <f t="shared" si="8"/>
        <v>37134.694239232973</v>
      </c>
      <c r="AB67" s="85">
        <f t="shared" si="8"/>
        <v>38063.061595213796</v>
      </c>
      <c r="AC67" s="85">
        <f t="shared" si="8"/>
        <v>39014.638135094137</v>
      </c>
    </row>
    <row r="68" spans="3:31" x14ac:dyDescent="0.2">
      <c r="D68" s="5" t="s">
        <v>87</v>
      </c>
      <c r="G68" s="91">
        <f>I68+NPV(NATDiscRate,J67:AC67)</f>
        <v>359098.3864359195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3:31" x14ac:dyDescent="0.2">
      <c r="G69" s="4"/>
    </row>
    <row r="70" spans="3:31" x14ac:dyDescent="0.2">
      <c r="C70" s="5" t="s">
        <v>53</v>
      </c>
      <c r="G70" s="31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3:31" x14ac:dyDescent="0.2">
      <c r="C71" s="5"/>
      <c r="D71" s="1" t="s">
        <v>89</v>
      </c>
      <c r="G71" s="31"/>
      <c r="H71" s="83">
        <v>40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3:31" x14ac:dyDescent="0.2">
      <c r="D72" s="1" t="s">
        <v>88</v>
      </c>
      <c r="G72" s="4"/>
      <c r="J72" s="92">
        <f>$I17/$H71</f>
        <v>27577.930023970221</v>
      </c>
      <c r="K72" s="92">
        <f t="shared" ref="K72:AC72" si="9">$I17/$H71</f>
        <v>27577.930023970221</v>
      </c>
      <c r="L72" s="92">
        <f t="shared" si="9"/>
        <v>27577.930023970221</v>
      </c>
      <c r="M72" s="92">
        <f t="shared" si="9"/>
        <v>27577.930023970221</v>
      </c>
      <c r="N72" s="92">
        <f t="shared" si="9"/>
        <v>27577.930023970221</v>
      </c>
      <c r="O72" s="92">
        <f t="shared" si="9"/>
        <v>27577.930023970221</v>
      </c>
      <c r="P72" s="92">
        <f t="shared" si="9"/>
        <v>27577.930023970221</v>
      </c>
      <c r="Q72" s="92">
        <f t="shared" si="9"/>
        <v>27577.930023970221</v>
      </c>
      <c r="R72" s="92">
        <f t="shared" si="9"/>
        <v>27577.930023970221</v>
      </c>
      <c r="S72" s="92">
        <f t="shared" si="9"/>
        <v>27577.930023970221</v>
      </c>
      <c r="T72" s="92">
        <f t="shared" si="9"/>
        <v>27577.930023970221</v>
      </c>
      <c r="U72" s="92">
        <f t="shared" si="9"/>
        <v>27577.930023970221</v>
      </c>
      <c r="V72" s="92">
        <f t="shared" si="9"/>
        <v>27577.930023970221</v>
      </c>
      <c r="W72" s="92">
        <f t="shared" si="9"/>
        <v>27577.930023970221</v>
      </c>
      <c r="X72" s="92">
        <f t="shared" si="9"/>
        <v>27577.930023970221</v>
      </c>
      <c r="Y72" s="92">
        <f t="shared" si="9"/>
        <v>27577.930023970221</v>
      </c>
      <c r="Z72" s="92">
        <f t="shared" si="9"/>
        <v>27577.930023970221</v>
      </c>
      <c r="AA72" s="92">
        <f t="shared" si="9"/>
        <v>27577.930023970221</v>
      </c>
      <c r="AB72" s="92">
        <f t="shared" si="9"/>
        <v>27577.930023970221</v>
      </c>
      <c r="AC72" s="92">
        <f t="shared" si="9"/>
        <v>27577.930023970221</v>
      </c>
    </row>
    <row r="73" spans="3:31" x14ac:dyDescent="0.2">
      <c r="D73" s="1" t="s">
        <v>52</v>
      </c>
      <c r="G73" s="4"/>
      <c r="J73" s="91">
        <f t="shared" ref="J73:AB73" si="10">J67-J72-J56</f>
        <v>-39497.267714568006</v>
      </c>
      <c r="K73" s="91">
        <f t="shared" si="10"/>
        <v>-39795.25115683295</v>
      </c>
      <c r="L73" s="91">
        <f t="shared" si="10"/>
        <v>-40100.684185154518</v>
      </c>
      <c r="M73" s="91">
        <f t="shared" si="10"/>
        <v>-40413.753039184128</v>
      </c>
      <c r="N73" s="91">
        <f t="shared" si="10"/>
        <v>-40734.648614564474</v>
      </c>
      <c r="O73" s="91">
        <f t="shared" si="10"/>
        <v>-41063.56657932933</v>
      </c>
      <c r="P73" s="91">
        <f t="shared" si="10"/>
        <v>-41400.707493213311</v>
      </c>
      <c r="Q73" s="91">
        <f t="shared" si="10"/>
        <v>-41746.27692994439</v>
      </c>
      <c r="R73" s="91">
        <f t="shared" si="10"/>
        <v>-42100.485602593733</v>
      </c>
      <c r="S73" s="91">
        <f t="shared" si="10"/>
        <v>-42463.549492059319</v>
      </c>
      <c r="T73" s="91">
        <f t="shared" si="10"/>
        <v>-42835.689978761555</v>
      </c>
      <c r="U73" s="91">
        <f t="shared" si="10"/>
        <v>-43217.13397763134</v>
      </c>
      <c r="V73" s="91">
        <f t="shared" si="10"/>
        <v>-43608.114076472863</v>
      </c>
      <c r="W73" s="91">
        <f t="shared" si="10"/>
        <v>-44008.868677785431</v>
      </c>
      <c r="X73" s="91">
        <f t="shared" si="10"/>
        <v>-44419.642144130812</v>
      </c>
      <c r="Y73" s="91">
        <f t="shared" si="10"/>
        <v>-44840.684947134825</v>
      </c>
      <c r="Z73" s="91">
        <f t="shared" si="10"/>
        <v>-45272.25382021394</v>
      </c>
      <c r="AA73" s="91">
        <f t="shared" si="10"/>
        <v>-45714.611915120033</v>
      </c>
      <c r="AB73" s="91">
        <f t="shared" si="10"/>
        <v>-46168.028962398777</v>
      </c>
      <c r="AC73" s="91">
        <f>AC67-AC72-AC56+AC47-(I38-SUM(J72:AC72))</f>
        <v>261190.11752748908</v>
      </c>
      <c r="AE73" s="79"/>
    </row>
    <row r="74" spans="3:31" x14ac:dyDescent="0.2">
      <c r="D74" s="1" t="s">
        <v>51</v>
      </c>
      <c r="G74" s="4"/>
      <c r="H74" s="86">
        <v>0.3</v>
      </c>
      <c r="J74" s="91">
        <f>J73*$H74</f>
        <v>-11849.180314370402</v>
      </c>
      <c r="K74" s="91">
        <f t="shared" ref="K74:AC74" si="11">K73*$H74</f>
        <v>-11938.575347049884</v>
      </c>
      <c r="L74" s="91">
        <f t="shared" si="11"/>
        <v>-12030.205255546354</v>
      </c>
      <c r="M74" s="91">
        <f t="shared" si="11"/>
        <v>-12124.125911755238</v>
      </c>
      <c r="N74" s="91">
        <f t="shared" si="11"/>
        <v>-12220.394584369342</v>
      </c>
      <c r="O74" s="91">
        <f t="shared" si="11"/>
        <v>-12319.069973798798</v>
      </c>
      <c r="P74" s="91">
        <f t="shared" si="11"/>
        <v>-12420.212247963993</v>
      </c>
      <c r="Q74" s="91">
        <f t="shared" si="11"/>
        <v>-12523.883078983317</v>
      </c>
      <c r="R74" s="91">
        <f t="shared" si="11"/>
        <v>-12630.14568077812</v>
      </c>
      <c r="S74" s="91">
        <f t="shared" si="11"/>
        <v>-12739.064847617796</v>
      </c>
      <c r="T74" s="91">
        <f t="shared" si="11"/>
        <v>-12850.706993628466</v>
      </c>
      <c r="U74" s="91">
        <f t="shared" si="11"/>
        <v>-12965.140193289402</v>
      </c>
      <c r="V74" s="91">
        <f t="shared" si="11"/>
        <v>-13082.434222941858</v>
      </c>
      <c r="W74" s="91">
        <f t="shared" si="11"/>
        <v>-13202.660603335629</v>
      </c>
      <c r="X74" s="91">
        <f t="shared" si="11"/>
        <v>-13325.892643239244</v>
      </c>
      <c r="Y74" s="91">
        <f t="shared" si="11"/>
        <v>-13452.205484140448</v>
      </c>
      <c r="Z74" s="91">
        <f t="shared" si="11"/>
        <v>-13581.676146064181</v>
      </c>
      <c r="AA74" s="91">
        <f t="shared" si="11"/>
        <v>-13714.38357453601</v>
      </c>
      <c r="AB74" s="91">
        <f t="shared" si="11"/>
        <v>-13850.408688719634</v>
      </c>
      <c r="AC74" s="91">
        <f t="shared" si="11"/>
        <v>78357.035258246717</v>
      </c>
    </row>
    <row r="75" spans="3:31" x14ac:dyDescent="0.2">
      <c r="D75" s="5" t="s">
        <v>90</v>
      </c>
      <c r="G75" s="91">
        <f>I75+NPV(NATDiscRate,J74:AC74)</f>
        <v>-120002.43637765037</v>
      </c>
    </row>
    <row r="76" spans="3:31" x14ac:dyDescent="0.2">
      <c r="G76" s="4"/>
    </row>
    <row r="77" spans="3:31" x14ac:dyDescent="0.2">
      <c r="C77" s="5" t="s">
        <v>6</v>
      </c>
      <c r="G77" s="91">
        <f>I77+NPV(NATDiscRate,J77:AC77)</f>
        <v>-1054124.891737028</v>
      </c>
      <c r="I77" s="91">
        <f>-I38</f>
        <v>-1401197.2009588089</v>
      </c>
      <c r="J77" s="91">
        <f t="shared" ref="J77:AB77" si="12">J67-J56-J74</f>
        <v>-70.157376227380155</v>
      </c>
      <c r="K77" s="91">
        <f t="shared" si="12"/>
        <v>-278.7457858128455</v>
      </c>
      <c r="L77" s="91">
        <f t="shared" si="12"/>
        <v>-492.54890563794288</v>
      </c>
      <c r="M77" s="91">
        <f t="shared" si="12"/>
        <v>-711.69710345866952</v>
      </c>
      <c r="N77" s="91">
        <f t="shared" si="12"/>
        <v>-936.3240062249115</v>
      </c>
      <c r="O77" s="91">
        <f t="shared" si="12"/>
        <v>-1166.5665815603115</v>
      </c>
      <c r="P77" s="91">
        <f t="shared" si="12"/>
        <v>-1402.5652212790937</v>
      </c>
      <c r="Q77" s="91">
        <f t="shared" si="12"/>
        <v>-1644.4638269908482</v>
      </c>
      <c r="R77" s="91">
        <f t="shared" si="12"/>
        <v>-1892.4098978453967</v>
      </c>
      <c r="S77" s="91">
        <f t="shared" si="12"/>
        <v>-2146.5546204713064</v>
      </c>
      <c r="T77" s="91">
        <f t="shared" si="12"/>
        <v>-2407.0529611628644</v>
      </c>
      <c r="U77" s="91">
        <f t="shared" si="12"/>
        <v>-2674.0637603717132</v>
      </c>
      <c r="V77" s="91">
        <f t="shared" si="12"/>
        <v>-2947.7498295607838</v>
      </c>
      <c r="W77" s="91">
        <f t="shared" si="12"/>
        <v>-3228.278050479581</v>
      </c>
      <c r="X77" s="91">
        <f t="shared" si="12"/>
        <v>-3515.8194769213478</v>
      </c>
      <c r="Y77" s="91">
        <f t="shared" si="12"/>
        <v>-3810.5494390241565</v>
      </c>
      <c r="Z77" s="91">
        <f t="shared" si="12"/>
        <v>-4112.6476501795387</v>
      </c>
      <c r="AA77" s="91">
        <f t="shared" si="12"/>
        <v>-4422.2983166138019</v>
      </c>
      <c r="AB77" s="91">
        <f t="shared" si="12"/>
        <v>-4739.6902497089231</v>
      </c>
      <c r="AC77" s="91">
        <f>AC67-AC56-AC74+AC47</f>
        <v>1060049.6127726173</v>
      </c>
    </row>
    <row r="79" spans="3:31" x14ac:dyDescent="0.2">
      <c r="C79" s="32" t="s">
        <v>7</v>
      </c>
      <c r="G79" s="91">
        <f>PMT(WACC!$C$25,20,G77)</f>
        <v>69892.228864947785</v>
      </c>
    </row>
    <row r="80" spans="3:31" x14ac:dyDescent="0.2">
      <c r="C80" s="5" t="s">
        <v>54</v>
      </c>
      <c r="D80" s="5"/>
      <c r="E80" s="5"/>
      <c r="F80" s="5"/>
      <c r="G80" s="91">
        <f>$G$79/(1-H74)</f>
        <v>99846.041235639699</v>
      </c>
    </row>
    <row r="81" spans="3:7" x14ac:dyDescent="0.2">
      <c r="G81" s="31"/>
    </row>
    <row r="82" spans="3:7" x14ac:dyDescent="0.2">
      <c r="C82" s="1" t="s">
        <v>96</v>
      </c>
      <c r="G82" s="33"/>
    </row>
    <row r="83" spans="3:7" x14ac:dyDescent="0.2">
      <c r="C83" s="1" t="s">
        <v>97</v>
      </c>
      <c r="G83" s="91">
        <f>G80/I61/(1-I62)</f>
        <v>35980.555400230522</v>
      </c>
    </row>
    <row r="84" spans="3:7" x14ac:dyDescent="0.2">
      <c r="G84" s="3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WACC</vt:lpstr>
      <vt:lpstr>CASHFLOW</vt:lpstr>
      <vt:lpstr>NATDiscRate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Baxter</dc:creator>
  <cp:lastModifiedBy>Cottom, Lachlan</cp:lastModifiedBy>
  <cp:lastPrinted>2016-02-03T22:23:32Z</cp:lastPrinted>
  <dcterms:created xsi:type="dcterms:W3CDTF">2016-01-12T23:17:16Z</dcterms:created>
  <dcterms:modified xsi:type="dcterms:W3CDTF">2022-11-01T23:08:09Z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2022-09-02T00:43:23Z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223f24a5-5edf-4bb5-9d92-d0107c154261</vt:lpwstr>
  </property>
  <property fmtid="{D5CDD505-2E9C-101B-9397-08002B2CF9AE}" pid="8" name="MSIP_Label_2b83f8d7-e91f-4eee-a336-52a8061c0503_ContentBits">
    <vt:lpwstr>0</vt:lpwstr>
  </property>
</Properties>
</file>